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eremyankri/Desktop/Outils finaux/"/>
    </mc:Choice>
  </mc:AlternateContent>
  <xr:revisionPtr revIDLastSave="0" documentId="8_{88FDA995-8C20-BA4B-8FA5-A5473295A443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otice d'utilisation" sheetId="9" r:id="rId1"/>
    <sheet name="Données brutes" sheetId="2" r:id="rId2"/>
    <sheet name="Taux de change" sheetId="6" r:id="rId3"/>
    <sheet name="Dim. cofinancement" sheetId="5" r:id="rId4"/>
    <sheet name="Part de cofinancement" sheetId="4" r:id="rId5"/>
    <sheet name="Tarification" sheetId="3" r:id="rId6"/>
    <sheet name="Devis raccordement" sheetId="8" r:id="rId7"/>
  </sheets>
  <externalReferences>
    <externalReference r:id="rId8"/>
  </externalReferences>
  <definedNames>
    <definedName name="Disqualificatif">'[1]Liste déroulante'!$B$5:$B$6</definedName>
    <definedName name="Note">'[1]Liste déroulante'!$C$5:$C$7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" i="3"/>
  <c r="O20" i="2"/>
  <c r="O17" i="2"/>
  <c r="O14" i="2"/>
  <c r="O11" i="2"/>
  <c r="N20" i="2"/>
  <c r="N17" i="2"/>
  <c r="N14" i="2"/>
  <c r="N11" i="2"/>
  <c r="M11" i="2"/>
  <c r="L12" i="2"/>
  <c r="L13" i="2"/>
  <c r="L14" i="2"/>
  <c r="L15" i="2"/>
  <c r="L16" i="2"/>
  <c r="L17" i="2"/>
  <c r="L18" i="2"/>
  <c r="L19" i="2"/>
  <c r="L20" i="2"/>
  <c r="L21" i="2"/>
  <c r="L22" i="2"/>
  <c r="L11" i="2"/>
  <c r="L5" i="2"/>
  <c r="L6" i="2"/>
  <c r="L7" i="2"/>
  <c r="L8" i="2"/>
  <c r="L9" i="2"/>
  <c r="L4" i="2"/>
  <c r="I20" i="2"/>
  <c r="I17" i="2"/>
  <c r="I14" i="2"/>
  <c r="AN6" i="5"/>
  <c r="I11" i="2"/>
  <c r="I7" i="2"/>
  <c r="AN4" i="5"/>
  <c r="I4" i="2"/>
  <c r="AN3" i="5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" i="3"/>
  <c r="F18" i="8"/>
  <c r="Q4" i="5"/>
  <c r="C18" i="8"/>
  <c r="Q3" i="5"/>
  <c r="E19" i="4"/>
  <c r="E23" i="4"/>
  <c r="E20" i="4"/>
  <c r="E21" i="4"/>
  <c r="E22" i="4"/>
  <c r="G20" i="4"/>
  <c r="G21" i="4"/>
  <c r="G22" i="4"/>
  <c r="G23" i="4"/>
  <c r="G19" i="4"/>
  <c r="F20" i="4"/>
  <c r="F21" i="4"/>
  <c r="F22" i="4"/>
  <c r="F23" i="4"/>
  <c r="F19" i="4"/>
  <c r="L43" i="8"/>
  <c r="Q8" i="5"/>
  <c r="I43" i="8"/>
  <c r="Q7" i="5"/>
  <c r="F43" i="8"/>
  <c r="Q6" i="5"/>
  <c r="C43" i="8"/>
  <c r="Q5" i="5"/>
  <c r="J27" i="8"/>
  <c r="G27" i="8"/>
  <c r="D27" i="8"/>
  <c r="A27" i="8"/>
  <c r="A26" i="8"/>
  <c r="A1" i="8"/>
  <c r="D2" i="8"/>
  <c r="A2" i="8"/>
  <c r="F4" i="5"/>
  <c r="R4" i="5"/>
  <c r="R5" i="5"/>
  <c r="R6" i="5"/>
  <c r="AN7" i="5"/>
  <c r="F7" i="5"/>
  <c r="R7" i="5"/>
  <c r="AN8" i="5"/>
  <c r="R8" i="5"/>
  <c r="F3" i="5"/>
  <c r="R3" i="5"/>
  <c r="AP4" i="5"/>
  <c r="AP5" i="5"/>
  <c r="AP3" i="5"/>
  <c r="P8" i="5"/>
  <c r="A6" i="5"/>
  <c r="A7" i="5"/>
  <c r="P7" i="5"/>
  <c r="A3" i="5"/>
  <c r="AM8" i="5"/>
  <c r="A8" i="5"/>
  <c r="T8" i="5"/>
  <c r="AM7" i="5"/>
  <c r="AM6" i="5"/>
  <c r="AM5" i="5"/>
  <c r="A5" i="5"/>
  <c r="AM4" i="5"/>
  <c r="A4" i="5"/>
  <c r="AM3" i="5"/>
  <c r="AQ8" i="5"/>
  <c r="AQ7" i="5"/>
  <c r="AQ6" i="5"/>
  <c r="AQ5" i="5"/>
  <c r="AQ4" i="5"/>
  <c r="AQ3" i="5"/>
  <c r="AP8" i="5"/>
  <c r="AP7" i="5"/>
  <c r="AP6" i="5"/>
  <c r="AO6" i="5"/>
  <c r="F8" i="5"/>
  <c r="F6" i="5"/>
  <c r="F5" i="5"/>
  <c r="F5" i="3"/>
  <c r="K5" i="3"/>
  <c r="F6" i="3"/>
  <c r="K6" i="3"/>
  <c r="F7" i="3"/>
  <c r="K7" i="3"/>
  <c r="F8" i="3"/>
  <c r="K8" i="3"/>
  <c r="F9" i="3"/>
  <c r="K9" i="3"/>
  <c r="F10" i="3"/>
  <c r="K10" i="3"/>
  <c r="F11" i="3"/>
  <c r="K11" i="3"/>
  <c r="F12" i="3"/>
  <c r="K12" i="3"/>
  <c r="F13" i="3"/>
  <c r="K13" i="3"/>
  <c r="F14" i="3"/>
  <c r="K14" i="3"/>
  <c r="F15" i="3"/>
  <c r="K15" i="3"/>
  <c r="F16" i="3"/>
  <c r="K16" i="3"/>
  <c r="F17" i="3"/>
  <c r="K17" i="3"/>
  <c r="F18" i="3"/>
  <c r="K18" i="3"/>
  <c r="F19" i="3"/>
  <c r="K19" i="3"/>
  <c r="F20" i="3"/>
  <c r="K20" i="3"/>
  <c r="F21" i="3"/>
  <c r="K21" i="3"/>
  <c r="F22" i="3"/>
  <c r="K22" i="3"/>
  <c r="F23" i="3"/>
  <c r="K23" i="3"/>
  <c r="F24" i="3"/>
  <c r="K24" i="3"/>
  <c r="F25" i="3"/>
  <c r="K25" i="3"/>
  <c r="F26" i="3"/>
  <c r="K26" i="3"/>
  <c r="F27" i="3"/>
  <c r="K27" i="3"/>
  <c r="F28" i="3"/>
  <c r="K28" i="3"/>
  <c r="F29" i="3"/>
  <c r="K29" i="3"/>
  <c r="F30" i="3"/>
  <c r="K30" i="3"/>
  <c r="F31" i="3"/>
  <c r="K31" i="3"/>
  <c r="F32" i="3"/>
  <c r="K32" i="3"/>
  <c r="F33" i="3"/>
  <c r="K33" i="3"/>
  <c r="F34" i="3"/>
  <c r="K34" i="3"/>
  <c r="F35" i="3"/>
  <c r="K35" i="3"/>
  <c r="F36" i="3"/>
  <c r="K36" i="3"/>
  <c r="F37" i="3"/>
  <c r="K37" i="3"/>
  <c r="F38" i="3"/>
  <c r="K38" i="3"/>
  <c r="F39" i="3"/>
  <c r="K39" i="3"/>
  <c r="F40" i="3"/>
  <c r="K40" i="3"/>
  <c r="F41" i="3"/>
  <c r="K41" i="3"/>
  <c r="F42" i="3"/>
  <c r="K42" i="3"/>
  <c r="F43" i="3"/>
  <c r="K43" i="3"/>
  <c r="F44" i="3"/>
  <c r="K44" i="3"/>
  <c r="F45" i="3"/>
  <c r="K45" i="3"/>
  <c r="F46" i="3"/>
  <c r="K46" i="3"/>
  <c r="F47" i="3"/>
  <c r="K47" i="3"/>
  <c r="F48" i="3"/>
  <c r="K48" i="3"/>
  <c r="F49" i="3"/>
  <c r="K49" i="3"/>
  <c r="N7" i="2"/>
  <c r="O7" i="2"/>
  <c r="S7" i="2"/>
  <c r="T7" i="2"/>
  <c r="M4" i="2"/>
  <c r="N4" i="2"/>
  <c r="O4" i="2"/>
  <c r="S4" i="2"/>
  <c r="T4" i="2"/>
  <c r="AO5" i="5"/>
  <c r="S11" i="2"/>
  <c r="T11" i="2"/>
  <c r="C5" i="5"/>
  <c r="P5" i="5"/>
  <c r="T5" i="5"/>
  <c r="AO4" i="5"/>
  <c r="C7" i="5"/>
  <c r="C3" i="5"/>
  <c r="T3" i="5"/>
  <c r="P3" i="5"/>
  <c r="T7" i="5"/>
  <c r="C6" i="5"/>
  <c r="P6" i="5"/>
  <c r="T6" i="5"/>
  <c r="AN5" i="5"/>
  <c r="U8" i="5"/>
  <c r="S14" i="2"/>
  <c r="T14" i="2"/>
  <c r="Q9" i="5"/>
  <c r="C4" i="5"/>
  <c r="T4" i="5"/>
  <c r="P4" i="5"/>
  <c r="C8" i="5"/>
  <c r="D4" i="5"/>
  <c r="AO8" i="5"/>
  <c r="S20" i="2"/>
  <c r="T20" i="2"/>
  <c r="AO3" i="5"/>
  <c r="AC3" i="5"/>
  <c r="D3" i="5"/>
  <c r="D5" i="5"/>
  <c r="U7" i="5"/>
  <c r="D8" i="5"/>
  <c r="U6" i="5"/>
  <c r="S17" i="2"/>
  <c r="T17" i="2"/>
  <c r="AO7" i="5"/>
  <c r="U4" i="5"/>
  <c r="D6" i="5"/>
  <c r="U3" i="5"/>
  <c r="D7" i="5"/>
  <c r="U5" i="5"/>
  <c r="AC6" i="5"/>
  <c r="O6" i="5"/>
  <c r="AC7" i="5"/>
  <c r="AC8" i="5"/>
  <c r="AC5" i="5"/>
  <c r="O5" i="5"/>
  <c r="AC4" i="5"/>
  <c r="AD4" i="5"/>
  <c r="O3" i="5"/>
  <c r="AD3" i="5"/>
  <c r="AD6" i="5"/>
  <c r="E3" i="5"/>
  <c r="E4" i="5"/>
  <c r="G4" i="5"/>
  <c r="H4" i="5"/>
  <c r="E7" i="5"/>
  <c r="E6" i="5"/>
  <c r="G6" i="5"/>
  <c r="H6" i="5"/>
  <c r="E5" i="5"/>
  <c r="G5" i="5"/>
  <c r="H5" i="5"/>
  <c r="E8" i="5"/>
  <c r="G8" i="5"/>
  <c r="AD5" i="5"/>
  <c r="O4" i="5"/>
  <c r="AD8" i="5"/>
  <c r="O8" i="5"/>
  <c r="S8" i="5"/>
  <c r="V8" i="5"/>
  <c r="AD7" i="5"/>
  <c r="O7" i="5"/>
  <c r="S7" i="5"/>
  <c r="V7" i="5"/>
  <c r="W6" i="5"/>
  <c r="X6" i="5"/>
  <c r="Y6" i="5"/>
  <c r="Z6" i="5"/>
  <c r="S3" i="5"/>
  <c r="V3" i="5"/>
  <c r="G7" i="5"/>
  <c r="H7" i="5"/>
  <c r="W4" i="5"/>
  <c r="X4" i="5"/>
  <c r="Y4" i="5"/>
  <c r="Z4" i="5"/>
  <c r="W5" i="5"/>
  <c r="X5" i="5"/>
  <c r="Y5" i="5"/>
  <c r="Z5" i="5"/>
  <c r="S6" i="5"/>
  <c r="S4" i="5"/>
  <c r="V4" i="5"/>
  <c r="I5" i="5"/>
  <c r="H8" i="5"/>
  <c r="I8" i="5"/>
  <c r="I4" i="5"/>
  <c r="G3" i="5"/>
  <c r="H3" i="5"/>
  <c r="W3" i="5"/>
  <c r="X3" i="5"/>
  <c r="Y3" i="5"/>
  <c r="Z3" i="5"/>
  <c r="I6" i="5"/>
  <c r="S5" i="5"/>
  <c r="W8" i="5"/>
  <c r="X8" i="5"/>
  <c r="Y8" i="5"/>
  <c r="Z8" i="5"/>
  <c r="W7" i="5"/>
  <c r="X7" i="5"/>
  <c r="Y7" i="5"/>
  <c r="Z7" i="5"/>
  <c r="AA6" i="5"/>
  <c r="V6" i="5"/>
  <c r="I7" i="5"/>
  <c r="AA4" i="5"/>
  <c r="I3" i="5"/>
  <c r="AA5" i="5"/>
  <c r="V5" i="5"/>
  <c r="AA3" i="5"/>
  <c r="AA8" i="5"/>
  <c r="AA7" i="5"/>
  <c r="AA9" i="5"/>
</calcChain>
</file>

<file path=xl/sharedStrings.xml><?xml version="1.0" encoding="utf-8"?>
<sst xmlns="http://schemas.openxmlformats.org/spreadsheetml/2006/main" count="113" uniqueCount="90">
  <si>
    <t>N°</t>
  </si>
  <si>
    <t>Développement activités</t>
  </si>
  <si>
    <t>Nombre d'heures d'utilisation</t>
  </si>
  <si>
    <t>Energie consommée</t>
  </si>
  <si>
    <t xml:space="preserve">Consommation globale mensuelle </t>
  </si>
  <si>
    <t>Consommation mensuelle</t>
  </si>
  <si>
    <t>Redevance mensuelle</t>
  </si>
  <si>
    <t xml:space="preserve">Consommation courante </t>
  </si>
  <si>
    <t>Frais de branchement</t>
  </si>
  <si>
    <t>Service de base (4h/jour)</t>
  </si>
  <si>
    <t>Service Plus (8-10h/jour)</t>
  </si>
  <si>
    <t>+</t>
  </si>
  <si>
    <t xml:space="preserve">Puissance </t>
  </si>
  <si>
    <t>Facture mensuelle</t>
  </si>
  <si>
    <t xml:space="preserve">Fourchettes de prix </t>
  </si>
  <si>
    <t>Estimation Produits mensuels</t>
  </si>
  <si>
    <t>Chiffre d'affaire estimé par le porteur de projets</t>
  </si>
  <si>
    <t>VAN actuelle nette</t>
  </si>
  <si>
    <t xml:space="preserve">Rentabilité </t>
  </si>
  <si>
    <t xml:space="preserve">Bénéficiaire de l'électricité </t>
  </si>
  <si>
    <t>Distance au poteau</t>
  </si>
  <si>
    <t>Part de cofinancement des porteurs de projet</t>
  </si>
  <si>
    <t>Part de confinancement proposé par le porteur de projet</t>
  </si>
  <si>
    <t xml:space="preserve">Proposition de cofinancement par les porteurs de projets </t>
  </si>
  <si>
    <t>Nom du porteur de projet</t>
  </si>
  <si>
    <t>énergie mensuelle consommée</t>
  </si>
  <si>
    <t>Proposition de cofinancement</t>
  </si>
  <si>
    <t>Sous total porteurs de projets</t>
  </si>
  <si>
    <t>Frais mise en œuvre raccordement
"Poteau"</t>
  </si>
  <si>
    <t>Total (sans frais de branchement)</t>
  </si>
  <si>
    <t>Si non, besoin d'un poteau ? (Oui : X) **</t>
  </si>
  <si>
    <t>Frais équipement/porteur de projets</t>
  </si>
  <si>
    <t>Genre 
(Femme : X)</t>
  </si>
  <si>
    <t>Accession Femme</t>
  </si>
  <si>
    <t>Part cofinancement des porteurs de projets déterminé</t>
  </si>
  <si>
    <t xml:space="preserve">Sous total </t>
  </si>
  <si>
    <t>Si oui, quel niveau de service ?</t>
  </si>
  <si>
    <t>Energie mensuelle consommée (estimation)</t>
  </si>
  <si>
    <t>Niveau de service a priori nécessaire pour l'activité</t>
  </si>
  <si>
    <t>Taux de change</t>
  </si>
  <si>
    <t>Le local de travail est-il déjà raccordé à l'électricité ? 
(Oui : X et Non : -)</t>
  </si>
  <si>
    <t>Factures d'électricité mensuelles estimées</t>
  </si>
  <si>
    <t>Différence proposition apport candidat et apport demandé</t>
  </si>
  <si>
    <t>Commentaire</t>
  </si>
  <si>
    <t>Service</t>
  </si>
  <si>
    <t xml:space="preserve">** Distance supérieure à 25 m </t>
  </si>
  <si>
    <t>Frais équipement /porteurs de projets</t>
  </si>
  <si>
    <t xml:space="preserve">Frais d'acheminement des équipements </t>
  </si>
  <si>
    <t>Frais d'acheminement des équipements</t>
  </si>
  <si>
    <t>Observations</t>
  </si>
  <si>
    <t>Frais mise en œuvre raccordement 
"Câblage" (ou changement de compteur)</t>
  </si>
  <si>
    <t>Montant cofinancement attendu du candidat pour :
matériel + transport + Accession Femme</t>
  </si>
  <si>
    <t>Frais de souscription (nouveau raccordement)</t>
  </si>
  <si>
    <t>Autres charges mensuelles (sans facture)</t>
  </si>
  <si>
    <t>TOTAL</t>
  </si>
  <si>
    <t>Besoin de changement de service (compteur)
(Oui : X et Non : -)</t>
  </si>
  <si>
    <t xml:space="preserve">Distance au poteau </t>
  </si>
  <si>
    <t>Matériels :</t>
  </si>
  <si>
    <t>quantité</t>
  </si>
  <si>
    <t>Prix</t>
  </si>
  <si>
    <t>Localité 1</t>
  </si>
  <si>
    <t>Porteur de projet 1</t>
  </si>
  <si>
    <t>AGR proposée</t>
  </si>
  <si>
    <t>Matériel demandé</t>
  </si>
  <si>
    <t>Prix Unitaire</t>
  </si>
  <si>
    <t>Porteur de projet 2</t>
  </si>
  <si>
    <t>Porteur de projet 3</t>
  </si>
  <si>
    <t>Porteur de projet 4</t>
  </si>
  <si>
    <t>Porteur de projet 5</t>
  </si>
  <si>
    <t>Porteur de projet 6</t>
  </si>
  <si>
    <t>Localité 2</t>
  </si>
  <si>
    <t xml:space="preserve">Frais </t>
  </si>
  <si>
    <t xml:space="preserve">Récepteur électrique </t>
  </si>
  <si>
    <t>Frais de souscription (Frais mise en œuvre raccordement)</t>
  </si>
  <si>
    <t>Matériels raccordement (câblage)</t>
  </si>
  <si>
    <t xml:space="preserve">Poteau si besoin </t>
  </si>
  <si>
    <t>Transport récepteur électrique</t>
  </si>
  <si>
    <t xml:space="preserve">Cofinancement </t>
  </si>
  <si>
    <t xml:space="preserve">Type de financement </t>
  </si>
  <si>
    <t>Intégrer au cofinancement</t>
  </si>
  <si>
    <t>100% porteur de projet</t>
  </si>
  <si>
    <t>0% porteur de projet</t>
  </si>
  <si>
    <t>Sous total Structure</t>
  </si>
  <si>
    <t xml:space="preserve">Total des coûts par projet AGR </t>
  </si>
  <si>
    <t>Service 1</t>
  </si>
  <si>
    <t>Service 2</t>
  </si>
  <si>
    <t>Service 3</t>
  </si>
  <si>
    <t>Service 4</t>
  </si>
  <si>
    <t>Création nouvelle activité</t>
  </si>
  <si>
    <t>Service en continu (24h/24h)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</si>
</sst>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&quot; heures/jour&quot;"/>
    <numFmt numFmtId="168" formatCode="0,000&quot; Wh/jour&quot;"/>
    <numFmt numFmtId="169" formatCode="0&quot; Ar/kWh&quot;"/>
    <numFmt numFmtId="170" formatCode="0.00&quot; kWh/mois&quot;"/>
    <numFmt numFmtId="171" formatCode="0&quot; Ar&quot;"/>
    <numFmt numFmtId="172" formatCode="0,000&quot; Ar&quot;"/>
    <numFmt numFmtId="173" formatCode="0&quot; Watt&quot;"/>
    <numFmt numFmtId="174" formatCode="0.0&quot; kWh/mois&quot;"/>
    <numFmt numFmtId="175" formatCode="_-* #,##0.00\ [$€-40C]_-;\-* #,##0.00\ [$€-40C]_-;_-* &quot;-&quot;??\ [$€-40C]_-;_-@_-"/>
    <numFmt numFmtId="176" formatCode="0.0&quot; kWh/jour&quot;"/>
    <numFmt numFmtId="177" formatCode="0,000,000"/>
    <numFmt numFmtId="178" formatCode="0&quot; mètres&quot;"/>
    <numFmt numFmtId="179" formatCode="_ * #,##0_)\ &quot;€&quot;_ ;_ * \(#,##0\)\ &quot;€&quot;_ ;_ * &quot;-&quot;??_)\ &quot;€&quot;_ ;_ @_ "/>
    <numFmt numFmtId="180" formatCode="0&quot; m&quot;"/>
    <numFmt numFmtId="181" formatCode="0\ 000&quot; Ar&quot;"/>
    <numFmt numFmtId="182" formatCode="0\ 000\ 000&quot; Ar&quot;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charset val="129"/>
      <scheme val="minor"/>
    </font>
    <font>
      <b/>
      <sz val="11"/>
      <name val="Calibri"/>
      <family val="2"/>
      <scheme val="minor"/>
    </font>
    <font>
      <b/>
      <sz val="11"/>
      <color theme="9"/>
      <name val="Calibri (Corps)"/>
    </font>
    <font>
      <b/>
      <sz val="11"/>
      <color theme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/>
      <bottom style="thin">
        <color auto="1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/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2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20">
    <xf numFmtId="0" fontId="0" fillId="0" borderId="0" xfId="0"/>
    <xf numFmtId="0" fontId="5" fillId="0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168" fontId="5" fillId="0" borderId="1" xfId="2" applyNumberForma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66" fontId="0" fillId="0" borderId="0" xfId="3" applyNumberFormat="1" applyFont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44" fontId="7" fillId="0" borderId="8" xfId="1" applyFont="1" applyBorder="1" applyAlignment="1">
      <alignment horizontal="center" vertical="center"/>
    </xf>
    <xf numFmtId="44" fontId="7" fillId="0" borderId="1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76" fontId="5" fillId="0" borderId="0" xfId="2" applyNumberFormat="1" applyAlignment="1">
      <alignment horizontal="center" vertical="center"/>
    </xf>
    <xf numFmtId="177" fontId="5" fillId="0" borderId="0" xfId="2" applyNumberFormat="1" applyAlignment="1">
      <alignment horizontal="center" vertical="center"/>
    </xf>
    <xf numFmtId="177" fontId="6" fillId="0" borderId="0" xfId="2" applyNumberFormat="1" applyFont="1" applyAlignment="1">
      <alignment horizontal="center" vertical="center"/>
    </xf>
    <xf numFmtId="178" fontId="5" fillId="0" borderId="0" xfId="2" applyNumberFormat="1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44" fontId="0" fillId="0" borderId="0" xfId="0" applyNumberFormat="1" applyAlignment="1">
      <alignment vertical="center"/>
    </xf>
    <xf numFmtId="9" fontId="0" fillId="0" borderId="0" xfId="4" applyFont="1" applyAlignment="1">
      <alignment vertical="center"/>
    </xf>
    <xf numFmtId="9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66" fontId="0" fillId="0" borderId="0" xfId="3" applyNumberFormat="1" applyFont="1" applyAlignment="1">
      <alignment vertical="center"/>
    </xf>
    <xf numFmtId="0" fontId="5" fillId="0" borderId="0" xfId="2" applyAlignment="1">
      <alignment vertical="center"/>
    </xf>
    <xf numFmtId="172" fontId="0" fillId="0" borderId="0" xfId="0" applyNumberFormat="1" applyBorder="1" applyAlignment="1">
      <alignment vertical="center"/>
    </xf>
    <xf numFmtId="9" fontId="0" fillId="0" borderId="0" xfId="4" applyFont="1" applyBorder="1" applyAlignment="1">
      <alignment vertical="center"/>
    </xf>
    <xf numFmtId="0" fontId="15" fillId="0" borderId="0" xfId="0" applyFont="1" applyAlignment="1">
      <alignment vertical="center"/>
    </xf>
    <xf numFmtId="172" fontId="15" fillId="0" borderId="0" xfId="0" applyNumberFormat="1" applyFont="1" applyAlignment="1">
      <alignment vertical="center"/>
    </xf>
    <xf numFmtId="44" fontId="15" fillId="0" borderId="0" xfId="1" applyFont="1" applyAlignment="1">
      <alignment vertical="center"/>
    </xf>
    <xf numFmtId="172" fontId="15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172" fontId="5" fillId="0" borderId="0" xfId="2" applyNumberFormat="1" applyAlignment="1">
      <alignment horizontal="center" vertical="center"/>
    </xf>
    <xf numFmtId="0" fontId="0" fillId="0" borderId="1" xfId="0" applyBorder="1" applyAlignment="1">
      <alignment vertical="center"/>
    </xf>
    <xf numFmtId="44" fontId="15" fillId="0" borderId="1" xfId="1" applyFont="1" applyBorder="1" applyAlignment="1">
      <alignment vertical="center" wrapText="1"/>
    </xf>
    <xf numFmtId="172" fontId="15" fillId="0" borderId="0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4" fontId="0" fillId="0" borderId="0" xfId="1" applyFont="1" applyBorder="1" applyAlignment="1">
      <alignment vertical="center" wrapText="1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44" fontId="0" fillId="0" borderId="0" xfId="1" applyFont="1" applyFill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44" fontId="14" fillId="0" borderId="0" xfId="0" applyNumberFormat="1" applyFont="1" applyBorder="1" applyAlignment="1">
      <alignment vertical="center"/>
    </xf>
    <xf numFmtId="0" fontId="0" fillId="0" borderId="0" xfId="1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4" fontId="0" fillId="0" borderId="19" xfId="1" applyFont="1" applyBorder="1" applyAlignment="1">
      <alignment vertical="center"/>
    </xf>
    <xf numFmtId="44" fontId="0" fillId="0" borderId="23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9" fontId="0" fillId="0" borderId="0" xfId="4" applyFont="1" applyFill="1" applyBorder="1" applyAlignment="1">
      <alignment vertical="center"/>
    </xf>
    <xf numFmtId="44" fontId="22" fillId="0" borderId="52" xfId="0" applyNumberFormat="1" applyFont="1" applyBorder="1" applyAlignment="1">
      <alignment horizontal="right" vertical="center"/>
    </xf>
    <xf numFmtId="44" fontId="0" fillId="0" borderId="43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49" xfId="1" applyFont="1" applyBorder="1" applyAlignment="1">
      <alignment horizontal="center" vertical="center"/>
    </xf>
    <xf numFmtId="179" fontId="14" fillId="0" borderId="5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2"/>
    <xf numFmtId="0" fontId="5" fillId="0" borderId="0" xfId="2" applyBorder="1"/>
    <xf numFmtId="0" fontId="5" fillId="0" borderId="0" xfId="2" quotePrefix="1"/>
    <xf numFmtId="0" fontId="5" fillId="0" borderId="0" xfId="2" applyAlignment="1">
      <alignment wrapText="1"/>
    </xf>
    <xf numFmtId="0" fontId="5" fillId="0" borderId="0" xfId="2" applyFill="1" applyBorder="1"/>
    <xf numFmtId="165" fontId="0" fillId="0" borderId="0" xfId="9" applyFont="1" applyBorder="1" applyAlignment="1">
      <alignment vertical="center" wrapText="1"/>
    </xf>
    <xf numFmtId="0" fontId="8" fillId="0" borderId="0" xfId="2" applyFont="1" applyFill="1" applyBorder="1"/>
    <xf numFmtId="181" fontId="5" fillId="0" borderId="0" xfId="2" applyNumberFormat="1" applyBorder="1"/>
    <xf numFmtId="182" fontId="5" fillId="0" borderId="0" xfId="2" applyNumberFormat="1" applyBorder="1"/>
    <xf numFmtId="0" fontId="26" fillId="0" borderId="0" xfId="2" applyFont="1" applyAlignment="1">
      <alignment horizontal="center" vertical="center"/>
    </xf>
    <xf numFmtId="44" fontId="0" fillId="2" borderId="6" xfId="1" applyFont="1" applyFill="1" applyBorder="1" applyAlignment="1">
      <alignment vertical="center"/>
    </xf>
    <xf numFmtId="44" fontId="0" fillId="2" borderId="0" xfId="1" applyFont="1" applyFill="1" applyBorder="1" applyAlignment="1">
      <alignment vertical="center"/>
    </xf>
    <xf numFmtId="44" fontId="0" fillId="2" borderId="42" xfId="1" applyFont="1" applyFill="1" applyBorder="1" applyAlignment="1">
      <alignment vertical="center"/>
    </xf>
    <xf numFmtId="172" fontId="15" fillId="2" borderId="11" xfId="1" applyNumberFormat="1" applyFont="1" applyFill="1" applyBorder="1" applyAlignment="1">
      <alignment vertical="center"/>
    </xf>
    <xf numFmtId="44" fontId="0" fillId="2" borderId="38" xfId="0" applyNumberFormat="1" applyFill="1" applyBorder="1" applyAlignment="1">
      <alignment vertical="center"/>
    </xf>
    <xf numFmtId="9" fontId="7" fillId="2" borderId="0" xfId="4" applyFont="1" applyFill="1" applyBorder="1" applyAlignment="1">
      <alignment vertical="center"/>
    </xf>
    <xf numFmtId="172" fontId="15" fillId="2" borderId="13" xfId="1" applyNumberFormat="1" applyFont="1" applyFill="1" applyBorder="1" applyAlignment="1">
      <alignment vertical="center"/>
    </xf>
    <xf numFmtId="44" fontId="0" fillId="2" borderId="50" xfId="0" applyNumberFormat="1" applyFill="1" applyBorder="1" applyAlignment="1">
      <alignment vertical="center"/>
    </xf>
    <xf numFmtId="172" fontId="15" fillId="2" borderId="41" xfId="1" applyNumberFormat="1" applyFont="1" applyFill="1" applyBorder="1" applyAlignment="1">
      <alignment vertical="center"/>
    </xf>
    <xf numFmtId="44" fontId="0" fillId="2" borderId="18" xfId="0" applyNumberForma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5" fillId="2" borderId="1" xfId="2" applyFill="1" applyBorder="1" applyAlignment="1">
      <alignment vertical="center" wrapText="1"/>
    </xf>
    <xf numFmtId="165" fontId="0" fillId="0" borderId="1" xfId="9" applyFont="1" applyBorder="1" applyAlignment="1">
      <alignment vertical="center" wrapText="1"/>
    </xf>
    <xf numFmtId="0" fontId="5" fillId="2" borderId="1" xfId="2" applyNumberForma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13" xfId="9" applyNumberFormat="1" applyFont="1" applyFill="1" applyBorder="1" applyAlignment="1">
      <alignment vertical="center" wrapText="1"/>
    </xf>
    <xf numFmtId="0" fontId="5" fillId="0" borderId="41" xfId="9" applyNumberFormat="1" applyFont="1" applyFill="1" applyBorder="1" applyAlignment="1">
      <alignment vertical="center" wrapText="1"/>
    </xf>
    <xf numFmtId="44" fontId="0" fillId="0" borderId="46" xfId="1" applyFont="1" applyFill="1" applyBorder="1" applyAlignment="1">
      <alignment vertical="center"/>
    </xf>
    <xf numFmtId="9" fontId="7" fillId="2" borderId="42" xfId="4" applyFont="1" applyFill="1" applyBorder="1" applyAlignment="1">
      <alignment vertical="center"/>
    </xf>
    <xf numFmtId="0" fontId="27" fillId="5" borderId="25" xfId="0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 wrapText="1"/>
    </xf>
    <xf numFmtId="172" fontId="27" fillId="5" borderId="29" xfId="0" applyNumberFormat="1" applyFont="1" applyFill="1" applyBorder="1" applyAlignment="1">
      <alignment horizontal="center" vertical="center" wrapText="1"/>
    </xf>
    <xf numFmtId="172" fontId="27" fillId="5" borderId="12" xfId="0" applyNumberFormat="1" applyFont="1" applyFill="1" applyBorder="1" applyAlignment="1">
      <alignment horizontal="center" vertical="center" wrapText="1"/>
    </xf>
    <xf numFmtId="172" fontId="27" fillId="5" borderId="11" xfId="0" applyNumberFormat="1" applyFont="1" applyFill="1" applyBorder="1" applyAlignment="1">
      <alignment horizontal="center" vertical="center" wrapText="1"/>
    </xf>
    <xf numFmtId="172" fontId="27" fillId="5" borderId="37" xfId="0" applyNumberFormat="1" applyFont="1" applyFill="1" applyBorder="1" applyAlignment="1">
      <alignment horizontal="center" vertical="center" wrapText="1"/>
    </xf>
    <xf numFmtId="172" fontId="27" fillId="5" borderId="28" xfId="0" applyNumberFormat="1" applyFont="1" applyFill="1" applyBorder="1" applyAlignment="1">
      <alignment horizontal="center" vertical="center" wrapText="1"/>
    </xf>
    <xf numFmtId="0" fontId="27" fillId="5" borderId="28" xfId="0" applyFont="1" applyFill="1" applyBorder="1" applyAlignment="1">
      <alignment horizontal="center" vertical="center" wrapText="1"/>
    </xf>
    <xf numFmtId="0" fontId="27" fillId="5" borderId="37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38" xfId="0" applyFont="1" applyFill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6" fillId="6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vertical="center"/>
    </xf>
    <xf numFmtId="164" fontId="0" fillId="2" borderId="41" xfId="0" applyNumberFormat="1" applyFill="1" applyBorder="1" applyAlignment="1">
      <alignment vertical="center"/>
    </xf>
    <xf numFmtId="172" fontId="0" fillId="2" borderId="14" xfId="1" applyNumberFormat="1" applyFont="1" applyFill="1" applyBorder="1" applyAlignment="1">
      <alignment vertical="center"/>
    </xf>
    <xf numFmtId="172" fontId="0" fillId="2" borderId="49" xfId="1" applyNumberFormat="1" applyFont="1" applyFill="1" applyBorder="1" applyAlignment="1">
      <alignment vertical="center"/>
    </xf>
    <xf numFmtId="174" fontId="0" fillId="2" borderId="50" xfId="1" applyNumberFormat="1" applyFont="1" applyFill="1" applyBorder="1" applyAlignment="1">
      <alignment vertical="center"/>
    </xf>
    <xf numFmtId="174" fontId="0" fillId="2" borderId="18" xfId="1" applyNumberFormat="1" applyFont="1" applyFill="1" applyBorder="1" applyAlignment="1">
      <alignment vertical="center"/>
    </xf>
    <xf numFmtId="172" fontId="27" fillId="5" borderId="30" xfId="0" applyNumberFormat="1" applyFont="1" applyFill="1" applyBorder="1" applyAlignment="1">
      <alignment horizontal="center" vertical="center" wrapText="1"/>
    </xf>
    <xf numFmtId="172" fontId="27" fillId="5" borderId="32" xfId="0" applyNumberFormat="1" applyFont="1" applyFill="1" applyBorder="1" applyAlignment="1">
      <alignment horizontal="center" vertical="center" wrapText="1"/>
    </xf>
    <xf numFmtId="44" fontId="0" fillId="2" borderId="15" xfId="1" applyFont="1" applyFill="1" applyBorder="1" applyAlignment="1">
      <alignment vertical="center"/>
    </xf>
    <xf numFmtId="9" fontId="0" fillId="2" borderId="12" xfId="4" applyFont="1" applyFill="1" applyBorder="1" applyAlignment="1">
      <alignment vertical="center"/>
    </xf>
    <xf numFmtId="9" fontId="0" fillId="2" borderId="14" xfId="4" applyFont="1" applyFill="1" applyBorder="1" applyAlignment="1">
      <alignment vertical="center"/>
    </xf>
    <xf numFmtId="9" fontId="0" fillId="2" borderId="49" xfId="4" applyFont="1" applyFill="1" applyBorder="1" applyAlignment="1">
      <alignment vertical="center"/>
    </xf>
    <xf numFmtId="44" fontId="0" fillId="2" borderId="38" xfId="1" applyFont="1" applyFill="1" applyBorder="1" applyAlignment="1">
      <alignment vertical="center"/>
    </xf>
    <xf numFmtId="44" fontId="0" fillId="2" borderId="50" xfId="1" applyFont="1" applyFill="1" applyBorder="1" applyAlignment="1">
      <alignment vertical="center"/>
    </xf>
    <xf numFmtId="44" fontId="0" fillId="2" borderId="18" xfId="1" applyFont="1" applyFill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80" fontId="0" fillId="0" borderId="50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65" fontId="0" fillId="2" borderId="0" xfId="9" applyFont="1" applyFill="1" applyBorder="1" applyAlignment="1">
      <alignment vertical="center"/>
    </xf>
    <xf numFmtId="165" fontId="0" fillId="2" borderId="11" xfId="9" applyFont="1" applyFill="1" applyBorder="1" applyAlignment="1">
      <alignment vertical="center"/>
    </xf>
    <xf numFmtId="175" fontId="0" fillId="0" borderId="12" xfId="1" applyNumberFormat="1" applyFont="1" applyFill="1" applyBorder="1" applyAlignment="1">
      <alignment vertical="center" wrapText="1"/>
    </xf>
    <xf numFmtId="165" fontId="0" fillId="2" borderId="13" xfId="9" applyFont="1" applyFill="1" applyBorder="1" applyAlignment="1">
      <alignment vertical="center"/>
    </xf>
    <xf numFmtId="175" fontId="0" fillId="0" borderId="14" xfId="1" applyNumberFormat="1" applyFont="1" applyFill="1" applyBorder="1" applyAlignment="1">
      <alignment vertical="center" wrapText="1"/>
    </xf>
    <xf numFmtId="165" fontId="0" fillId="2" borderId="41" xfId="9" applyFont="1" applyFill="1" applyBorder="1" applyAlignment="1">
      <alignment vertical="center"/>
    </xf>
    <xf numFmtId="175" fontId="0" fillId="0" borderId="49" xfId="1" applyNumberFormat="1" applyFont="1" applyFill="1" applyBorder="1" applyAlignment="1">
      <alignment vertical="center" wrapText="1"/>
    </xf>
    <xf numFmtId="0" fontId="23" fillId="0" borderId="0" xfId="2" applyFont="1" applyBorder="1"/>
    <xf numFmtId="165" fontId="6" fillId="0" borderId="0" xfId="9" applyFont="1" applyBorder="1"/>
    <xf numFmtId="165" fontId="5" fillId="0" borderId="0" xfId="9" quotePrefix="1" applyFont="1" applyBorder="1"/>
    <xf numFmtId="165" fontId="5" fillId="0" borderId="0" xfId="9" applyFont="1" applyBorder="1"/>
    <xf numFmtId="165" fontId="5" fillId="0" borderId="0" xfId="9" applyFont="1" applyBorder="1" applyAlignment="1">
      <alignment wrapText="1"/>
    </xf>
    <xf numFmtId="165" fontId="5" fillId="0" borderId="0" xfId="9" applyFont="1"/>
    <xf numFmtId="164" fontId="5" fillId="0" borderId="0" xfId="2" applyNumberFormat="1" applyBorder="1"/>
    <xf numFmtId="164" fontId="5" fillId="0" borderId="0" xfId="2" applyNumberFormat="1"/>
    <xf numFmtId="172" fontId="0" fillId="2" borderId="0" xfId="0" applyNumberFormat="1" applyFont="1" applyFill="1" applyBorder="1" applyAlignment="1">
      <alignment vertical="center"/>
    </xf>
    <xf numFmtId="172" fontId="0" fillId="2" borderId="0" xfId="1" applyNumberFormat="1" applyFont="1" applyFill="1" applyBorder="1" applyAlignment="1">
      <alignment vertical="center"/>
    </xf>
    <xf numFmtId="44" fontId="1" fillId="2" borderId="0" xfId="1" applyFont="1" applyFill="1" applyBorder="1" applyAlignment="1">
      <alignment vertical="center"/>
    </xf>
    <xf numFmtId="181" fontId="0" fillId="2" borderId="0" xfId="1" applyNumberFormat="1" applyFont="1" applyFill="1" applyBorder="1" applyAlignment="1">
      <alignment vertical="center"/>
    </xf>
    <xf numFmtId="0" fontId="5" fillId="2" borderId="0" xfId="2" applyFont="1" applyFill="1" applyBorder="1"/>
    <xf numFmtId="181" fontId="5" fillId="2" borderId="0" xfId="2" applyNumberFormat="1" applyFill="1" applyBorder="1"/>
    <xf numFmtId="0" fontId="29" fillId="2" borderId="0" xfId="2" applyFont="1" applyFill="1" applyBorder="1" applyAlignment="1"/>
    <xf numFmtId="0" fontId="30" fillId="2" borderId="0" xfId="2" applyFont="1" applyFill="1" applyBorder="1" applyAlignment="1">
      <alignment horizontal="center" vertical="center"/>
    </xf>
    <xf numFmtId="0" fontId="33" fillId="2" borderId="0" xfId="2" applyFont="1" applyFill="1" applyBorder="1" applyAlignment="1">
      <alignment horizontal="center" vertical="center"/>
    </xf>
    <xf numFmtId="181" fontId="33" fillId="2" borderId="0" xfId="2" applyNumberFormat="1" applyFont="1" applyFill="1" applyBorder="1" applyAlignment="1">
      <alignment horizontal="center" vertical="center"/>
    </xf>
    <xf numFmtId="0" fontId="5" fillId="2" borderId="0" xfId="2" quotePrefix="1" applyFill="1" applyBorder="1"/>
    <xf numFmtId="0" fontId="5" fillId="2" borderId="0" xfId="2" applyFill="1" applyBorder="1"/>
    <xf numFmtId="181" fontId="5" fillId="2" borderId="0" xfId="2" applyNumberFormat="1" applyFont="1" applyFill="1" applyBorder="1"/>
    <xf numFmtId="165" fontId="0" fillId="2" borderId="42" xfId="9" applyFont="1" applyFill="1" applyBorder="1" applyAlignment="1">
      <alignment vertical="center"/>
    </xf>
    <xf numFmtId="166" fontId="9" fillId="2" borderId="14" xfId="9" applyNumberFormat="1" applyFont="1" applyFill="1" applyBorder="1" applyAlignment="1">
      <alignment vertical="center"/>
    </xf>
    <xf numFmtId="166" fontId="9" fillId="2" borderId="49" xfId="9" applyNumberFormat="1" applyFont="1" applyFill="1" applyBorder="1" applyAlignment="1">
      <alignment vertical="center"/>
    </xf>
    <xf numFmtId="172" fontId="9" fillId="2" borderId="0" xfId="0" applyNumberFormat="1" applyFont="1" applyFill="1" applyBorder="1" applyAlignment="1">
      <alignment vertical="center"/>
    </xf>
    <xf numFmtId="44" fontId="9" fillId="2" borderId="0" xfId="1" applyFont="1" applyFill="1" applyBorder="1" applyAlignment="1">
      <alignment vertical="center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8" fillId="5" borderId="26" xfId="0" applyFont="1" applyFill="1" applyBorder="1" applyAlignment="1">
      <alignment horizontal="center" vertical="center"/>
    </xf>
    <xf numFmtId="9" fontId="0" fillId="0" borderId="14" xfId="4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9" fontId="15" fillId="0" borderId="38" xfId="4" applyFont="1" applyFill="1" applyBorder="1" applyAlignment="1">
      <alignment horizontal="center" vertical="center"/>
    </xf>
    <xf numFmtId="9" fontId="15" fillId="0" borderId="50" xfId="4" applyFont="1" applyFill="1" applyBorder="1" applyAlignment="1">
      <alignment horizontal="center" vertical="center"/>
    </xf>
    <xf numFmtId="9" fontId="15" fillId="0" borderId="18" xfId="4" applyFont="1" applyFill="1" applyBorder="1" applyAlignment="1">
      <alignment horizontal="center" vertical="center"/>
    </xf>
    <xf numFmtId="9" fontId="0" fillId="2" borderId="11" xfId="4" applyFont="1" applyFill="1" applyBorder="1" applyAlignment="1">
      <alignment horizontal="center" vertical="center"/>
    </xf>
    <xf numFmtId="165" fontId="14" fillId="2" borderId="12" xfId="9" applyFont="1" applyFill="1" applyBorder="1" applyAlignment="1">
      <alignment horizontal="center" vertical="center"/>
    </xf>
    <xf numFmtId="9" fontId="0" fillId="2" borderId="13" xfId="4" applyFont="1" applyFill="1" applyBorder="1" applyAlignment="1">
      <alignment horizontal="center" vertical="center"/>
    </xf>
    <xf numFmtId="165" fontId="14" fillId="2" borderId="14" xfId="9" applyFont="1" applyFill="1" applyBorder="1" applyAlignment="1">
      <alignment horizontal="center" vertical="center"/>
    </xf>
    <xf numFmtId="9" fontId="0" fillId="2" borderId="41" xfId="4" applyFont="1" applyFill="1" applyBorder="1" applyAlignment="1">
      <alignment horizontal="center" vertical="center"/>
    </xf>
    <xf numFmtId="165" fontId="14" fillId="2" borderId="49" xfId="9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/>
    </xf>
    <xf numFmtId="165" fontId="0" fillId="2" borderId="15" xfId="9" applyFont="1" applyFill="1" applyBorder="1" applyAlignment="1">
      <alignment vertical="center"/>
    </xf>
    <xf numFmtId="166" fontId="9" fillId="2" borderId="12" xfId="9" applyNumberFormat="1" applyFont="1" applyFill="1" applyBorder="1" applyAlignment="1">
      <alignment vertical="center"/>
    </xf>
    <xf numFmtId="170" fontId="0" fillId="0" borderId="3" xfId="0" applyNumberFormat="1" applyBorder="1" applyAlignment="1">
      <alignment horizontal="center" vertical="center"/>
    </xf>
    <xf numFmtId="44" fontId="7" fillId="0" borderId="62" xfId="1" applyFont="1" applyBorder="1" applyAlignment="1">
      <alignment horizontal="center" vertical="center"/>
    </xf>
    <xf numFmtId="0" fontId="28" fillId="5" borderId="51" xfId="0" applyFont="1" applyFill="1" applyBorder="1" applyAlignment="1">
      <alignment horizontal="center" vertical="center"/>
    </xf>
    <xf numFmtId="0" fontId="28" fillId="5" borderId="27" xfId="0" applyFont="1" applyFill="1" applyBorder="1" applyAlignment="1">
      <alignment horizontal="center" vertical="center"/>
    </xf>
    <xf numFmtId="169" fontId="27" fillId="5" borderId="5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7" xfId="0" quotePrefix="1" applyBorder="1" applyAlignment="1">
      <alignment horizontal="center" vertical="center"/>
    </xf>
    <xf numFmtId="0" fontId="30" fillId="7" borderId="11" xfId="2" applyFont="1" applyFill="1" applyBorder="1" applyAlignment="1">
      <alignment horizontal="center" vertical="center"/>
    </xf>
    <xf numFmtId="0" fontId="33" fillId="7" borderId="15" xfId="2" applyFont="1" applyFill="1" applyBorder="1" applyAlignment="1">
      <alignment horizontal="center" vertical="center"/>
    </xf>
    <xf numFmtId="0" fontId="33" fillId="7" borderId="12" xfId="2" applyFont="1" applyFill="1" applyBorder="1" applyAlignment="1">
      <alignment horizontal="center" vertical="center"/>
    </xf>
    <xf numFmtId="181" fontId="33" fillId="7" borderId="12" xfId="2" applyNumberFormat="1" applyFont="1" applyFill="1" applyBorder="1" applyAlignment="1">
      <alignment horizontal="center" vertical="center"/>
    </xf>
    <xf numFmtId="0" fontId="30" fillId="7" borderId="13" xfId="2" applyFont="1" applyFill="1" applyBorder="1" applyAlignment="1">
      <alignment horizontal="center" vertical="center"/>
    </xf>
    <xf numFmtId="0" fontId="33" fillId="7" borderId="0" xfId="2" applyFont="1" applyFill="1" applyBorder="1" applyAlignment="1">
      <alignment horizontal="center" vertical="center"/>
    </xf>
    <xf numFmtId="0" fontId="30" fillId="7" borderId="14" xfId="2" applyFont="1" applyFill="1" applyBorder="1" applyAlignment="1">
      <alignment horizontal="center" vertical="center"/>
    </xf>
    <xf numFmtId="0" fontId="31" fillId="7" borderId="15" xfId="2" applyFont="1" applyFill="1" applyBorder="1" applyAlignment="1">
      <alignment horizontal="center" vertical="center"/>
    </xf>
    <xf numFmtId="0" fontId="31" fillId="7" borderId="12" xfId="2" applyFont="1" applyFill="1" applyBorder="1" applyAlignment="1">
      <alignment horizontal="center" vertical="center"/>
    </xf>
    <xf numFmtId="0" fontId="32" fillId="7" borderId="13" xfId="2" applyFont="1" applyFill="1" applyBorder="1" applyAlignment="1">
      <alignment horizontal="center" vertical="center"/>
    </xf>
    <xf numFmtId="0" fontId="31" fillId="7" borderId="0" xfId="2" applyFont="1" applyFill="1" applyBorder="1" applyAlignment="1">
      <alignment horizontal="center" vertical="center"/>
    </xf>
    <xf numFmtId="0" fontId="32" fillId="7" borderId="0" xfId="2" applyFont="1" applyFill="1" applyBorder="1" applyAlignment="1">
      <alignment horizontal="center" vertical="center"/>
    </xf>
    <xf numFmtId="0" fontId="32" fillId="7" borderId="14" xfId="2" applyFont="1" applyFill="1" applyBorder="1" applyAlignment="1">
      <alignment horizontal="center" vertical="center"/>
    </xf>
    <xf numFmtId="0" fontId="5" fillId="4" borderId="1" xfId="2" quotePrefix="1" applyFill="1" applyBorder="1" applyAlignment="1" applyProtection="1">
      <alignment horizontal="center" vertical="center" wrapText="1"/>
      <protection locked="0"/>
    </xf>
    <xf numFmtId="173" fontId="5" fillId="4" borderId="1" xfId="2" applyNumberFormat="1" applyFill="1" applyBorder="1" applyAlignment="1" applyProtection="1">
      <alignment horizontal="center" vertical="center" wrapText="1"/>
      <protection locked="0"/>
    </xf>
    <xf numFmtId="166" fontId="0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2" applyFill="1" applyBorder="1" applyAlignment="1" applyProtection="1">
      <alignment horizontal="center" vertical="center" wrapText="1"/>
      <protection locked="0"/>
    </xf>
    <xf numFmtId="173" fontId="5" fillId="4" borderId="1" xfId="2" quotePrefix="1" applyNumberFormat="1" applyFill="1" applyBorder="1" applyAlignment="1" applyProtection="1">
      <alignment horizontal="center" vertical="center" wrapText="1"/>
      <protection locked="0"/>
    </xf>
    <xf numFmtId="166" fontId="0" fillId="4" borderId="1" xfId="3" quotePrefix="1" applyNumberFormat="1" applyFont="1" applyFill="1" applyBorder="1" applyAlignment="1" applyProtection="1">
      <alignment horizontal="center" vertical="center" wrapText="1"/>
      <protection locked="0"/>
    </xf>
    <xf numFmtId="173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16" fillId="4" borderId="1" xfId="2" quotePrefix="1" applyNumberFormat="1" applyFont="1" applyFill="1" applyBorder="1" applyAlignment="1" applyProtection="1">
      <alignment horizontal="center" vertical="center" wrapText="1"/>
      <protection locked="0"/>
    </xf>
    <xf numFmtId="167" fontId="0" fillId="4" borderId="1" xfId="3" applyNumberFormat="1" applyFont="1" applyFill="1" applyBorder="1" applyAlignment="1" applyProtection="1">
      <alignment horizontal="center" vertical="center" wrapText="1"/>
      <protection locked="0"/>
    </xf>
    <xf numFmtId="167" fontId="0" fillId="4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ill="1" applyAlignment="1">
      <alignment horizontal="center" vertical="center"/>
    </xf>
    <xf numFmtId="0" fontId="5" fillId="4" borderId="27" xfId="2" quotePrefix="1" applyFill="1" applyBorder="1" applyAlignment="1" applyProtection="1">
      <alignment horizontal="center" vertical="center" wrapText="1"/>
      <protection locked="0"/>
    </xf>
    <xf numFmtId="173" fontId="16" fillId="4" borderId="27" xfId="2" quotePrefix="1" applyNumberFormat="1" applyFont="1" applyFill="1" applyBorder="1" applyAlignment="1" applyProtection="1">
      <alignment horizontal="center" vertical="center" wrapText="1"/>
      <protection locked="0"/>
    </xf>
    <xf numFmtId="166" fontId="0" fillId="4" borderId="27" xfId="3" quotePrefix="1" applyNumberFormat="1" applyFont="1" applyFill="1" applyBorder="1" applyAlignment="1" applyProtection="1">
      <alignment horizontal="center" vertical="center" wrapText="1"/>
      <protection locked="0"/>
    </xf>
    <xf numFmtId="167" fontId="0" fillId="4" borderId="27" xfId="3" quotePrefix="1" applyNumberFormat="1" applyFont="1" applyFill="1" applyBorder="1" applyAlignment="1" applyProtection="1">
      <alignment horizontal="center" vertical="center" wrapText="1"/>
      <protection locked="0"/>
    </xf>
    <xf numFmtId="168" fontId="5" fillId="0" borderId="27" xfId="2" applyNumberFormat="1" applyBorder="1" applyAlignment="1">
      <alignment horizontal="center" vertical="center"/>
    </xf>
    <xf numFmtId="49" fontId="5" fillId="4" borderId="6" xfId="2" applyNumberFormat="1" applyFill="1" applyBorder="1" applyAlignment="1" applyProtection="1">
      <alignment horizontal="center" vertical="center" wrapText="1"/>
      <protection locked="0"/>
    </xf>
    <xf numFmtId="49" fontId="5" fillId="4" borderId="0" xfId="2" applyNumberFormat="1" applyFill="1" applyBorder="1" applyAlignment="1" applyProtection="1">
      <alignment horizontal="center" vertical="center" wrapText="1"/>
      <protection locked="0"/>
    </xf>
    <xf numFmtId="49" fontId="5" fillId="4" borderId="0" xfId="2" applyNumberFormat="1" applyFont="1" applyFill="1" applyBorder="1" applyAlignment="1" applyProtection="1">
      <alignment horizontal="center" vertical="center" wrapText="1"/>
      <protection locked="0"/>
    </xf>
    <xf numFmtId="49" fontId="5" fillId="4" borderId="42" xfId="2" applyNumberFormat="1" applyFill="1" applyBorder="1" applyAlignment="1" applyProtection="1">
      <alignment horizontal="center" vertical="center" wrapText="1"/>
      <protection locked="0"/>
    </xf>
    <xf numFmtId="9" fontId="0" fillId="4" borderId="26" xfId="4" applyFont="1" applyFill="1" applyBorder="1" applyAlignment="1" applyProtection="1">
      <alignment vertical="center"/>
      <protection locked="0"/>
    </xf>
    <xf numFmtId="9" fontId="0" fillId="4" borderId="10" xfId="4" applyFont="1" applyFill="1" applyBorder="1" applyAlignment="1" applyProtection="1">
      <alignment vertical="center"/>
      <protection locked="0"/>
    </xf>
    <xf numFmtId="172" fontId="0" fillId="4" borderId="34" xfId="1" quotePrefix="1" applyNumberFormat="1" applyFont="1" applyFill="1" applyBorder="1" applyAlignment="1" applyProtection="1">
      <alignment horizontal="center" vertical="center"/>
      <protection locked="0"/>
    </xf>
    <xf numFmtId="172" fontId="0" fillId="4" borderId="44" xfId="1" quotePrefix="1" applyNumberFormat="1" applyFont="1" applyFill="1" applyBorder="1" applyAlignment="1" applyProtection="1">
      <alignment horizontal="center" vertical="center"/>
      <protection locked="0"/>
    </xf>
    <xf numFmtId="172" fontId="0" fillId="4" borderId="45" xfId="1" quotePrefix="1" applyNumberFormat="1" applyFont="1" applyFill="1" applyBorder="1" applyAlignment="1" applyProtection="1">
      <alignment horizontal="center" vertical="center"/>
      <protection locked="0"/>
    </xf>
    <xf numFmtId="172" fontId="0" fillId="4" borderId="19" xfId="1" quotePrefix="1" applyNumberFormat="1" applyFont="1" applyFill="1" applyBorder="1" applyAlignment="1" applyProtection="1">
      <alignment horizontal="center" vertical="center"/>
      <protection locked="0"/>
    </xf>
    <xf numFmtId="172" fontId="0" fillId="4" borderId="23" xfId="1" quotePrefix="1" applyNumberFormat="1" applyFont="1" applyFill="1" applyBorder="1" applyAlignment="1" applyProtection="1">
      <alignment horizontal="center" vertical="center"/>
      <protection locked="0"/>
    </xf>
    <xf numFmtId="172" fontId="0" fillId="4" borderId="23" xfId="1" applyNumberFormat="1" applyFont="1" applyFill="1" applyBorder="1" applyAlignment="1" applyProtection="1">
      <alignment horizontal="center" vertical="center"/>
      <protection locked="0"/>
    </xf>
    <xf numFmtId="172" fontId="18" fillId="4" borderId="46" xfId="1" quotePrefix="1" applyNumberFormat="1" applyFont="1" applyFill="1" applyBorder="1" applyAlignment="1" applyProtection="1">
      <alignment horizontal="center" vertical="center"/>
      <protection locked="0"/>
    </xf>
    <xf numFmtId="172" fontId="0" fillId="4" borderId="2" xfId="1" quotePrefix="1" applyNumberFormat="1" applyFont="1" applyFill="1" applyBorder="1" applyAlignment="1" applyProtection="1">
      <alignment horizontal="center" vertical="center"/>
      <protection locked="0"/>
    </xf>
    <xf numFmtId="172" fontId="0" fillId="4" borderId="20" xfId="1" applyNumberFormat="1" applyFont="1" applyFill="1" applyBorder="1" applyAlignment="1" applyProtection="1">
      <alignment horizontal="center" vertical="center"/>
      <protection locked="0"/>
    </xf>
    <xf numFmtId="174" fontId="0" fillId="4" borderId="19" xfId="1" applyNumberFormat="1" applyFont="1" applyFill="1" applyBorder="1" applyAlignment="1" applyProtection="1">
      <alignment horizontal="center" vertical="center"/>
      <protection locked="0"/>
    </xf>
    <xf numFmtId="172" fontId="0" fillId="4" borderId="5" xfId="1" quotePrefix="1" applyNumberFormat="1" applyFont="1" applyFill="1" applyBorder="1" applyAlignment="1" applyProtection="1">
      <alignment horizontal="center" vertical="center"/>
      <protection locked="0"/>
    </xf>
    <xf numFmtId="172" fontId="0" fillId="4" borderId="24" xfId="1" applyNumberFormat="1" applyFont="1" applyFill="1" applyBorder="1" applyAlignment="1" applyProtection="1">
      <alignment horizontal="center" vertical="center"/>
      <protection locked="0"/>
    </xf>
    <xf numFmtId="174" fontId="0" fillId="4" borderId="23" xfId="1" applyNumberFormat="1" applyFont="1" applyFill="1" applyBorder="1" applyAlignment="1" applyProtection="1">
      <alignment horizontal="center" vertical="center"/>
      <protection locked="0"/>
    </xf>
    <xf numFmtId="172" fontId="0" fillId="4" borderId="47" xfId="1" quotePrefix="1" applyNumberFormat="1" applyFont="1" applyFill="1" applyBorder="1" applyAlignment="1" applyProtection="1">
      <alignment horizontal="center" vertical="center"/>
      <protection locked="0"/>
    </xf>
    <xf numFmtId="172" fontId="0" fillId="4" borderId="48" xfId="1" applyNumberFormat="1" applyFont="1" applyFill="1" applyBorder="1" applyAlignment="1" applyProtection="1">
      <alignment horizontal="center" vertical="center"/>
      <protection locked="0"/>
    </xf>
    <xf numFmtId="174" fontId="17" fillId="4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9" fontId="0" fillId="4" borderId="8" xfId="4" applyFont="1" applyFill="1" applyBorder="1" applyAlignment="1" applyProtection="1">
      <alignment horizontal="center" vertical="center"/>
      <protection locked="0"/>
    </xf>
    <xf numFmtId="9" fontId="0" fillId="4" borderId="10" xfId="4" applyFon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" fontId="0" fillId="4" borderId="21" xfId="0" applyNumberFormat="1" applyFill="1" applyBorder="1" applyAlignment="1" applyProtection="1">
      <alignment horizontal="center" vertical="center"/>
      <protection locked="0"/>
    </xf>
    <xf numFmtId="1" fontId="0" fillId="4" borderId="6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1" fontId="0" fillId="4" borderId="27" xfId="0" applyNumberFormat="1" applyFill="1" applyBorder="1" applyAlignment="1" applyProtection="1">
      <alignment horizontal="center" vertical="center"/>
      <protection locked="0"/>
    </xf>
    <xf numFmtId="1" fontId="0" fillId="4" borderId="42" xfId="0" applyNumberFormat="1" applyFill="1" applyBorder="1" applyAlignment="1" applyProtection="1">
      <alignment horizontal="center" vertical="center"/>
      <protection locked="0"/>
    </xf>
    <xf numFmtId="1" fontId="0" fillId="4" borderId="65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5" fillId="0" borderId="13" xfId="2" quotePrefix="1" applyBorder="1" applyProtection="1">
      <protection locked="0"/>
    </xf>
    <xf numFmtId="0" fontId="5" fillId="0" borderId="0" xfId="2" applyBorder="1" applyProtection="1">
      <protection locked="0"/>
    </xf>
    <xf numFmtId="0" fontId="5" fillId="0" borderId="14" xfId="2" applyBorder="1" applyProtection="1">
      <protection locked="0"/>
    </xf>
    <xf numFmtId="0" fontId="5" fillId="0" borderId="41" xfId="2" applyBorder="1" applyProtection="1">
      <protection locked="0"/>
    </xf>
    <xf numFmtId="0" fontId="5" fillId="0" borderId="42" xfId="2" applyBorder="1" applyProtection="1">
      <protection locked="0"/>
    </xf>
    <xf numFmtId="0" fontId="5" fillId="0" borderId="49" xfId="2" applyBorder="1" applyProtection="1">
      <protection locked="0"/>
    </xf>
    <xf numFmtId="0" fontId="5" fillId="0" borderId="41" xfId="2" quotePrefix="1" applyBorder="1" applyProtection="1">
      <protection locked="0"/>
    </xf>
    <xf numFmtId="44" fontId="0" fillId="4" borderId="7" xfId="1" applyFont="1" applyFill="1" applyBorder="1" applyAlignment="1" applyProtection="1">
      <alignment horizontal="center" vertical="center"/>
      <protection locked="0"/>
    </xf>
    <xf numFmtId="44" fontId="0" fillId="4" borderId="1" xfId="1" applyFont="1" applyFill="1" applyBorder="1" applyAlignment="1" applyProtection="1">
      <alignment horizontal="center" vertical="center"/>
      <protection locked="0"/>
    </xf>
    <xf numFmtId="44" fontId="0" fillId="4" borderId="9" xfId="1" applyFont="1" applyFill="1" applyBorder="1" applyAlignment="1" applyProtection="1">
      <alignment horizontal="center" vertical="center"/>
      <protection locked="0"/>
    </xf>
    <xf numFmtId="44" fontId="0" fillId="4" borderId="27" xfId="1" applyFont="1" applyFill="1" applyBorder="1" applyAlignment="1" applyProtection="1">
      <alignment horizontal="center" vertical="center"/>
      <protection locked="0"/>
    </xf>
    <xf numFmtId="0" fontId="28" fillId="5" borderId="54" xfId="0" applyFont="1" applyFill="1" applyBorder="1" applyAlignment="1">
      <alignment horizontal="center" vertical="center"/>
    </xf>
    <xf numFmtId="0" fontId="5" fillId="3" borderId="34" xfId="2" applyFont="1" applyFill="1" applyBorder="1" applyAlignment="1" applyProtection="1">
      <alignment horizontal="center" vertical="center"/>
      <protection locked="0"/>
    </xf>
    <xf numFmtId="0" fontId="5" fillId="3" borderId="44" xfId="2" applyFont="1" applyFill="1" applyBorder="1" applyAlignment="1" applyProtection="1">
      <alignment horizontal="center" vertical="center"/>
      <protection locked="0"/>
    </xf>
    <xf numFmtId="0" fontId="5" fillId="3" borderId="64" xfId="2" applyFont="1" applyFill="1" applyBorder="1" applyAlignment="1" applyProtection="1">
      <alignment horizontal="center" vertical="center"/>
      <protection locked="0"/>
    </xf>
    <xf numFmtId="172" fontId="5" fillId="0" borderId="2" xfId="2" applyNumberFormat="1" applyBorder="1" applyAlignment="1">
      <alignment horizontal="center" vertical="center"/>
    </xf>
    <xf numFmtId="172" fontId="5" fillId="0" borderId="5" xfId="2" applyNumberFormat="1" applyBorder="1" applyAlignment="1">
      <alignment horizontal="center" vertical="center"/>
    </xf>
    <xf numFmtId="172" fontId="5" fillId="0" borderId="3" xfId="2" applyNumberFormat="1" applyBorder="1" applyAlignment="1">
      <alignment horizontal="center" vertical="center"/>
    </xf>
    <xf numFmtId="174" fontId="5" fillId="0" borderId="2" xfId="2" applyNumberFormat="1" applyBorder="1" applyAlignment="1">
      <alignment horizontal="center" vertical="center"/>
    </xf>
    <xf numFmtId="174" fontId="5" fillId="0" borderId="5" xfId="2" applyNumberFormat="1" applyBorder="1" applyAlignment="1">
      <alignment horizontal="center" vertical="center"/>
    </xf>
    <xf numFmtId="174" fontId="5" fillId="0" borderId="3" xfId="2" applyNumberFormat="1" applyBorder="1" applyAlignment="1">
      <alignment horizontal="center" vertical="center"/>
    </xf>
    <xf numFmtId="172" fontId="0" fillId="4" borderId="2" xfId="3" applyNumberFormat="1" applyFont="1" applyFill="1" applyBorder="1" applyAlignment="1" applyProtection="1">
      <alignment horizontal="center" vertical="center" wrapText="1"/>
      <protection locked="0"/>
    </xf>
    <xf numFmtId="172" fontId="0" fillId="4" borderId="5" xfId="3" applyNumberFormat="1" applyFont="1" applyFill="1" applyBorder="1" applyAlignment="1" applyProtection="1">
      <alignment horizontal="center" vertical="center" wrapText="1"/>
      <protection locked="0"/>
    </xf>
    <xf numFmtId="172" fontId="0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25" fillId="5" borderId="37" xfId="2" applyFont="1" applyFill="1" applyBorder="1" applyAlignment="1">
      <alignment horizontal="center" vertical="center" wrapText="1"/>
    </xf>
    <xf numFmtId="0" fontId="25" fillId="5" borderId="3" xfId="2" applyFont="1" applyFill="1" applyBorder="1" applyAlignment="1">
      <alignment horizontal="center" vertical="center" wrapText="1"/>
    </xf>
    <xf numFmtId="172" fontId="5" fillId="4" borderId="2" xfId="2" applyNumberFormat="1" applyFill="1" applyBorder="1" applyAlignment="1" applyProtection="1">
      <alignment horizontal="center" vertical="center"/>
      <protection locked="0"/>
    </xf>
    <xf numFmtId="172" fontId="5" fillId="4" borderId="5" xfId="2" applyNumberFormat="1" applyFill="1" applyBorder="1" applyAlignment="1" applyProtection="1">
      <alignment horizontal="center" vertical="center"/>
      <protection locked="0"/>
    </xf>
    <xf numFmtId="172" fontId="5" fillId="4" borderId="3" xfId="2" applyNumberFormat="1" applyFill="1" applyBorder="1" applyAlignment="1" applyProtection="1">
      <alignment horizontal="center" vertical="center"/>
      <protection locked="0"/>
    </xf>
    <xf numFmtId="176" fontId="5" fillId="0" borderId="2" xfId="2" applyNumberFormat="1" applyBorder="1" applyAlignment="1">
      <alignment horizontal="center" vertical="center"/>
    </xf>
    <xf numFmtId="176" fontId="5" fillId="0" borderId="5" xfId="2" applyNumberFormat="1" applyBorder="1" applyAlignment="1">
      <alignment horizontal="center" vertical="center"/>
    </xf>
    <xf numFmtId="172" fontId="25" fillId="5" borderId="37" xfId="2" applyNumberFormat="1" applyFont="1" applyFill="1" applyBorder="1" applyAlignment="1">
      <alignment horizontal="center" vertical="center"/>
    </xf>
    <xf numFmtId="172" fontId="25" fillId="5" borderId="3" xfId="2" applyNumberFormat="1" applyFont="1" applyFill="1" applyBorder="1" applyAlignment="1">
      <alignment horizontal="center" vertical="center"/>
    </xf>
    <xf numFmtId="0" fontId="25" fillId="5" borderId="66" xfId="2" applyFont="1" applyFill="1" applyBorder="1" applyAlignment="1">
      <alignment horizontal="center" vertical="center"/>
    </xf>
    <xf numFmtId="0" fontId="25" fillId="5" borderId="64" xfId="2" applyFont="1" applyFill="1" applyBorder="1" applyAlignment="1">
      <alignment horizontal="center" vertical="center"/>
    </xf>
    <xf numFmtId="0" fontId="25" fillId="5" borderId="37" xfId="2" applyFont="1" applyFill="1" applyBorder="1" applyAlignment="1">
      <alignment horizontal="center" vertical="center"/>
    </xf>
    <xf numFmtId="0" fontId="25" fillId="5" borderId="3" xfId="2" applyFont="1" applyFill="1" applyBorder="1" applyAlignment="1">
      <alignment horizontal="center" vertical="center"/>
    </xf>
    <xf numFmtId="0" fontId="25" fillId="7" borderId="61" xfId="2" applyFont="1" applyFill="1" applyBorder="1" applyAlignment="1">
      <alignment horizontal="left" vertical="center"/>
    </xf>
    <xf numFmtId="0" fontId="25" fillId="7" borderId="17" xfId="2" applyFont="1" applyFill="1" applyBorder="1" applyAlignment="1">
      <alignment horizontal="left" vertical="center"/>
    </xf>
    <xf numFmtId="0" fontId="25" fillId="7" borderId="68" xfId="2" applyFont="1" applyFill="1" applyBorder="1" applyAlignment="1">
      <alignment horizontal="left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177" fontId="11" fillId="0" borderId="23" xfId="0" applyNumberFormat="1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/>
    </xf>
    <xf numFmtId="0" fontId="5" fillId="6" borderId="34" xfId="2" applyFill="1" applyBorder="1" applyAlignment="1" applyProtection="1">
      <alignment horizontal="center" vertical="center"/>
      <protection locked="0"/>
    </xf>
    <xf numFmtId="0" fontId="5" fillId="6" borderId="44" xfId="2" applyFill="1" applyBorder="1" applyAlignment="1" applyProtection="1">
      <alignment horizontal="center" vertical="center"/>
      <protection locked="0"/>
    </xf>
    <xf numFmtId="0" fontId="5" fillId="4" borderId="2" xfId="2" applyFill="1" applyBorder="1" applyAlignment="1" applyProtection="1">
      <alignment horizontal="center" vertical="center" wrapText="1"/>
      <protection locked="0"/>
    </xf>
    <xf numFmtId="0" fontId="5" fillId="4" borderId="5" xfId="2" applyFill="1" applyBorder="1" applyAlignment="1" applyProtection="1">
      <alignment horizontal="center" vertical="center" wrapText="1"/>
      <protection locked="0"/>
    </xf>
    <xf numFmtId="0" fontId="5" fillId="4" borderId="3" xfId="2" applyFill="1" applyBorder="1" applyAlignment="1" applyProtection="1">
      <alignment horizontal="center" vertical="center" wrapText="1"/>
      <protection locked="0"/>
    </xf>
    <xf numFmtId="0" fontId="5" fillId="4" borderId="2" xfId="2" applyFill="1" applyBorder="1" applyAlignment="1" applyProtection="1">
      <alignment horizontal="center" vertical="center"/>
      <protection locked="0"/>
    </xf>
    <xf numFmtId="0" fontId="5" fillId="4" borderId="5" xfId="2" applyFill="1" applyBorder="1" applyAlignment="1" applyProtection="1">
      <alignment horizontal="center" vertical="center"/>
      <protection locked="0"/>
    </xf>
    <xf numFmtId="0" fontId="5" fillId="4" borderId="3" xfId="2" applyFill="1" applyBorder="1" applyAlignment="1" applyProtection="1">
      <alignment horizontal="center" vertical="center"/>
      <protection locked="0"/>
    </xf>
    <xf numFmtId="0" fontId="5" fillId="0" borderId="34" xfId="2" applyBorder="1" applyAlignment="1" applyProtection="1">
      <alignment horizontal="center" vertical="center"/>
      <protection locked="0"/>
    </xf>
    <xf numFmtId="0" fontId="5" fillId="0" borderId="44" xfId="2" applyBorder="1" applyAlignment="1" applyProtection="1">
      <alignment horizontal="center" vertical="center"/>
      <protection locked="0"/>
    </xf>
    <xf numFmtId="0" fontId="5" fillId="0" borderId="64" xfId="2" applyBorder="1" applyAlignment="1" applyProtection="1">
      <alignment horizontal="center" vertical="center"/>
      <protection locked="0"/>
    </xf>
    <xf numFmtId="0" fontId="5" fillId="3" borderId="34" xfId="2" applyFill="1" applyBorder="1" applyAlignment="1" applyProtection="1">
      <alignment horizontal="center" vertical="center"/>
      <protection locked="0"/>
    </xf>
    <xf numFmtId="0" fontId="5" fillId="3" borderId="44" xfId="2" applyFill="1" applyBorder="1" applyAlignment="1" applyProtection="1">
      <alignment horizontal="center" vertical="center"/>
      <protection locked="0"/>
    </xf>
    <xf numFmtId="0" fontId="5" fillId="3" borderId="64" xfId="2" applyFill="1" applyBorder="1" applyAlignment="1" applyProtection="1">
      <alignment horizontal="center" vertical="center"/>
      <protection locked="0"/>
    </xf>
    <xf numFmtId="172" fontId="0" fillId="0" borderId="2" xfId="3" quotePrefix="1" applyNumberFormat="1" applyFont="1" applyBorder="1" applyAlignment="1">
      <alignment horizontal="center" vertical="center" wrapText="1"/>
    </xf>
    <xf numFmtId="172" fontId="0" fillId="0" borderId="5" xfId="3" quotePrefix="1" applyNumberFormat="1" applyFont="1" applyBorder="1" applyAlignment="1">
      <alignment horizontal="center" vertical="center" wrapText="1"/>
    </xf>
    <xf numFmtId="172" fontId="0" fillId="0" borderId="3" xfId="3" quotePrefix="1" applyNumberFormat="1" applyFont="1" applyBorder="1" applyAlignment="1">
      <alignment horizontal="center" vertical="center" wrapText="1"/>
    </xf>
    <xf numFmtId="172" fontId="0" fillId="4" borderId="4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2" applyBorder="1" applyAlignment="1" applyProtection="1">
      <alignment horizontal="center" vertical="center"/>
      <protection locked="0"/>
    </xf>
    <xf numFmtId="0" fontId="5" fillId="4" borderId="47" xfId="2" applyFill="1" applyBorder="1" applyAlignment="1" applyProtection="1">
      <alignment horizontal="center" vertical="center" wrapText="1"/>
      <protection locked="0"/>
    </xf>
    <xf numFmtId="0" fontId="5" fillId="6" borderId="64" xfId="2" applyFill="1" applyBorder="1" applyAlignment="1" applyProtection="1">
      <alignment horizontal="center" vertical="center"/>
      <protection locked="0"/>
    </xf>
    <xf numFmtId="178" fontId="5" fillId="4" borderId="2" xfId="2" quotePrefix="1" applyNumberFormat="1" applyFill="1" applyBorder="1" applyAlignment="1" applyProtection="1">
      <alignment horizontal="center" vertical="center" wrapText="1"/>
      <protection locked="0"/>
    </xf>
    <xf numFmtId="178" fontId="5" fillId="4" borderId="5" xfId="2" quotePrefix="1" applyNumberFormat="1" applyFill="1" applyBorder="1" applyAlignment="1" applyProtection="1">
      <alignment horizontal="center" vertical="center" wrapText="1"/>
      <protection locked="0"/>
    </xf>
    <xf numFmtId="178" fontId="5" fillId="4" borderId="47" xfId="2" quotePrefix="1" applyNumberFormat="1" applyFill="1" applyBorder="1" applyAlignment="1" applyProtection="1">
      <alignment horizontal="center" vertical="center" wrapText="1"/>
      <protection locked="0"/>
    </xf>
    <xf numFmtId="172" fontId="0" fillId="0" borderId="2" xfId="3" applyNumberFormat="1" applyFont="1" applyBorder="1" applyAlignment="1">
      <alignment horizontal="center" vertical="center" wrapText="1"/>
    </xf>
    <xf numFmtId="172" fontId="0" fillId="0" borderId="5" xfId="3" applyNumberFormat="1" applyFont="1" applyBorder="1" applyAlignment="1">
      <alignment horizontal="center" vertical="center" wrapText="1"/>
    </xf>
    <xf numFmtId="172" fontId="0" fillId="0" borderId="3" xfId="3" applyNumberFormat="1" applyFont="1" applyBorder="1" applyAlignment="1">
      <alignment horizontal="center" vertical="center" wrapText="1"/>
    </xf>
    <xf numFmtId="0" fontId="5" fillId="4" borderId="2" xfId="2" quotePrefix="1" applyFill="1" applyBorder="1" applyAlignment="1" applyProtection="1">
      <alignment horizontal="center" vertical="center" wrapText="1"/>
      <protection locked="0"/>
    </xf>
    <xf numFmtId="0" fontId="5" fillId="4" borderId="5" xfId="2" quotePrefix="1" applyFill="1" applyBorder="1" applyAlignment="1" applyProtection="1">
      <alignment horizontal="center" vertical="center" wrapText="1"/>
      <protection locked="0"/>
    </xf>
    <xf numFmtId="0" fontId="5" fillId="4" borderId="47" xfId="2" quotePrefix="1" applyFill="1" applyBorder="1" applyAlignment="1" applyProtection="1">
      <alignment horizontal="center" vertical="center" wrapText="1"/>
      <protection locked="0"/>
    </xf>
    <xf numFmtId="0" fontId="5" fillId="4" borderId="3" xfId="2" quotePrefix="1" applyFill="1" applyBorder="1" applyAlignment="1" applyProtection="1">
      <alignment horizontal="center" vertical="center" wrapText="1"/>
      <protection locked="0"/>
    </xf>
    <xf numFmtId="172" fontId="0" fillId="0" borderId="47" xfId="3" quotePrefix="1" applyNumberFormat="1" applyFont="1" applyBorder="1" applyAlignment="1">
      <alignment horizontal="center" vertical="center" wrapText="1"/>
    </xf>
    <xf numFmtId="178" fontId="5" fillId="4" borderId="3" xfId="2" quotePrefix="1" applyNumberFormat="1" applyFill="1" applyBorder="1" applyAlignment="1" applyProtection="1">
      <alignment horizontal="center" vertical="center" wrapText="1"/>
      <protection locked="0"/>
    </xf>
    <xf numFmtId="172" fontId="5" fillId="4" borderId="47" xfId="2" applyNumberFormat="1" applyFill="1" applyBorder="1" applyAlignment="1" applyProtection="1">
      <alignment horizontal="center" vertical="center"/>
      <protection locked="0"/>
    </xf>
    <xf numFmtId="174" fontId="5" fillId="0" borderId="47" xfId="2" applyNumberFormat="1" applyBorder="1" applyAlignment="1">
      <alignment horizontal="center" vertical="center"/>
    </xf>
    <xf numFmtId="166" fontId="25" fillId="5" borderId="37" xfId="3" applyNumberFormat="1" applyFont="1" applyFill="1" applyBorder="1" applyAlignment="1">
      <alignment horizontal="center" vertical="center"/>
    </xf>
    <xf numFmtId="166" fontId="25" fillId="5" borderId="3" xfId="3" applyNumberFormat="1" applyFont="1" applyFill="1" applyBorder="1" applyAlignment="1">
      <alignment horizontal="center" vertical="center"/>
    </xf>
    <xf numFmtId="166" fontId="25" fillId="5" borderId="37" xfId="3" applyNumberFormat="1" applyFont="1" applyFill="1" applyBorder="1" applyAlignment="1">
      <alignment horizontal="center" vertical="center" wrapText="1"/>
    </xf>
    <xf numFmtId="166" fontId="25" fillId="5" borderId="3" xfId="3" applyNumberFormat="1" applyFont="1" applyFill="1" applyBorder="1" applyAlignment="1">
      <alignment horizontal="center" vertical="center" wrapText="1"/>
    </xf>
    <xf numFmtId="178" fontId="25" fillId="5" borderId="37" xfId="2" applyNumberFormat="1" applyFont="1" applyFill="1" applyBorder="1" applyAlignment="1">
      <alignment horizontal="center" vertical="center"/>
    </xf>
    <xf numFmtId="178" fontId="25" fillId="5" borderId="3" xfId="2" applyNumberFormat="1" applyFont="1" applyFill="1" applyBorder="1" applyAlignment="1">
      <alignment horizontal="center" vertical="center"/>
    </xf>
    <xf numFmtId="178" fontId="16" fillId="4" borderId="2" xfId="2" applyNumberFormat="1" applyFont="1" applyFill="1" applyBorder="1" applyAlignment="1" applyProtection="1">
      <alignment horizontal="center" vertical="center" wrapText="1"/>
      <protection locked="0"/>
    </xf>
    <xf numFmtId="178" fontId="16" fillId="4" borderId="5" xfId="2" applyNumberFormat="1" applyFont="1" applyFill="1" applyBorder="1" applyAlignment="1" applyProtection="1">
      <alignment horizontal="center" vertical="center" wrapText="1"/>
      <protection locked="0"/>
    </xf>
    <xf numFmtId="178" fontId="16" fillId="4" borderId="3" xfId="2" applyNumberFormat="1" applyFont="1" applyFill="1" applyBorder="1" applyAlignment="1" applyProtection="1">
      <alignment horizontal="center" vertical="center" wrapText="1"/>
      <protection locked="0"/>
    </xf>
    <xf numFmtId="178" fontId="5" fillId="4" borderId="2" xfId="2" applyNumberFormat="1" applyFill="1" applyBorder="1" applyAlignment="1" applyProtection="1">
      <alignment horizontal="center" vertical="center" wrapText="1"/>
      <protection locked="0"/>
    </xf>
    <xf numFmtId="178" fontId="5" fillId="4" borderId="5" xfId="2" applyNumberFormat="1" applyFill="1" applyBorder="1" applyAlignment="1" applyProtection="1">
      <alignment horizontal="center" vertical="center" wrapText="1"/>
      <protection locked="0"/>
    </xf>
    <xf numFmtId="178" fontId="5" fillId="4" borderId="3" xfId="2" applyNumberFormat="1" applyFill="1" applyBorder="1" applyAlignment="1" applyProtection="1">
      <alignment horizontal="center" vertical="center" wrapText="1"/>
      <protection locked="0"/>
    </xf>
    <xf numFmtId="0" fontId="25" fillId="5" borderId="57" xfId="2" applyFont="1" applyFill="1" applyBorder="1" applyAlignment="1">
      <alignment horizontal="center" vertical="center"/>
    </xf>
    <xf numFmtId="0" fontId="25" fillId="5" borderId="28" xfId="2" applyFont="1" applyFill="1" applyBorder="1" applyAlignment="1">
      <alignment horizontal="center" vertical="center"/>
    </xf>
    <xf numFmtId="0" fontId="25" fillId="5" borderId="21" xfId="2" applyFont="1" applyFill="1" applyBorder="1" applyAlignment="1">
      <alignment horizontal="center" vertical="center"/>
    </xf>
    <xf numFmtId="0" fontId="25" fillId="5" borderId="22" xfId="2" applyFont="1" applyFill="1" applyBorder="1" applyAlignment="1">
      <alignment horizontal="center" vertical="center"/>
    </xf>
    <xf numFmtId="0" fontId="25" fillId="5" borderId="29" xfId="2" applyFont="1" applyFill="1" applyBorder="1" applyAlignment="1">
      <alignment horizontal="center" vertical="center"/>
    </xf>
    <xf numFmtId="0" fontId="25" fillId="5" borderId="67" xfId="2" applyFont="1" applyFill="1" applyBorder="1" applyAlignment="1">
      <alignment horizontal="center" vertical="center"/>
    </xf>
    <xf numFmtId="0" fontId="21" fillId="0" borderId="69" xfId="2" quotePrefix="1" applyFont="1" applyBorder="1" applyAlignment="1" applyProtection="1">
      <alignment horizontal="center" vertical="center" wrapText="1"/>
      <protection locked="0"/>
    </xf>
    <xf numFmtId="0" fontId="21" fillId="0" borderId="67" xfId="2" quotePrefix="1" applyFont="1" applyBorder="1" applyAlignment="1" applyProtection="1">
      <alignment horizontal="center" vertical="center" wrapText="1"/>
      <protection locked="0"/>
    </xf>
    <xf numFmtId="0" fontId="19" fillId="0" borderId="62" xfId="2" quotePrefix="1" applyFont="1" applyBorder="1" applyAlignment="1" applyProtection="1">
      <alignment horizontal="center" vertical="center" wrapText="1"/>
      <protection locked="0"/>
    </xf>
    <xf numFmtId="0" fontId="21" fillId="0" borderId="73" xfId="2" quotePrefix="1" applyFont="1" applyBorder="1" applyAlignment="1" applyProtection="1">
      <alignment horizontal="center" vertical="center" wrapText="1"/>
      <protection locked="0"/>
    </xf>
    <xf numFmtId="0" fontId="19" fillId="0" borderId="71" xfId="2" quotePrefix="1" applyFont="1" applyBorder="1" applyAlignment="1" applyProtection="1">
      <alignment horizontal="center" vertical="center" wrapText="1"/>
      <protection locked="0"/>
    </xf>
    <xf numFmtId="0" fontId="19" fillId="0" borderId="74" xfId="2" quotePrefix="1" applyFont="1" applyBorder="1" applyAlignment="1" applyProtection="1">
      <alignment horizontal="center" vertical="center" wrapText="1"/>
      <protection locked="0"/>
    </xf>
    <xf numFmtId="0" fontId="20" fillId="0" borderId="73" xfId="2" quotePrefix="1" applyFont="1" applyBorder="1" applyAlignment="1" applyProtection="1">
      <alignment horizontal="center" vertical="center" wrapText="1"/>
      <protection locked="0"/>
    </xf>
    <xf numFmtId="0" fontId="21" fillId="0" borderId="70" xfId="2" quotePrefix="1" applyFont="1" applyBorder="1" applyAlignment="1" applyProtection="1">
      <alignment horizontal="center" vertical="center" wrapText="1"/>
      <protection locked="0"/>
    </xf>
    <xf numFmtId="0" fontId="21" fillId="0" borderId="71" xfId="2" quotePrefix="1" applyFont="1" applyBorder="1" applyAlignment="1" applyProtection="1">
      <alignment horizontal="center" vertical="center" wrapText="1"/>
      <protection locked="0"/>
    </xf>
    <xf numFmtId="0" fontId="21" fillId="0" borderId="72" xfId="2" quotePrefix="1" applyFont="1" applyBorder="1" applyAlignment="1" applyProtection="1">
      <alignment horizontal="center" vertical="center" wrapText="1"/>
      <protection locked="0"/>
    </xf>
    <xf numFmtId="0" fontId="21" fillId="0" borderId="69" xfId="2" applyFont="1" applyBorder="1" applyAlignment="1" applyProtection="1">
      <alignment horizontal="center" vertical="center" wrapText="1"/>
      <protection locked="0"/>
    </xf>
    <xf numFmtId="0" fontId="21" fillId="0" borderId="67" xfId="2" applyFont="1" applyBorder="1" applyAlignment="1" applyProtection="1">
      <alignment horizontal="center" vertical="center" wrapText="1"/>
      <protection locked="0"/>
    </xf>
    <xf numFmtId="2" fontId="10" fillId="0" borderId="2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1" fillId="0" borderId="62" xfId="2" quotePrefix="1" applyFont="1" applyBorder="1" applyAlignment="1" applyProtection="1">
      <alignment horizontal="center" vertical="center" wrapText="1"/>
      <protection locked="0"/>
    </xf>
    <xf numFmtId="177" fontId="25" fillId="5" borderId="37" xfId="2" applyNumberFormat="1" applyFont="1" applyFill="1" applyBorder="1" applyAlignment="1">
      <alignment horizontal="center" vertical="center"/>
    </xf>
    <xf numFmtId="177" fontId="25" fillId="5" borderId="3" xfId="2" applyNumberFormat="1" applyFont="1" applyFill="1" applyBorder="1" applyAlignment="1">
      <alignment horizontal="center" vertical="center"/>
    </xf>
    <xf numFmtId="177" fontId="11" fillId="0" borderId="46" xfId="0" applyNumberFormat="1" applyFont="1" applyBorder="1" applyAlignment="1">
      <alignment horizontal="center" vertical="center"/>
    </xf>
    <xf numFmtId="2" fontId="10" fillId="0" borderId="47" xfId="0" applyNumberFormat="1" applyFont="1" applyBorder="1" applyAlignment="1">
      <alignment horizontal="center" vertical="center"/>
    </xf>
    <xf numFmtId="176" fontId="5" fillId="0" borderId="47" xfId="2" applyNumberFormat="1" applyBorder="1" applyAlignment="1">
      <alignment horizontal="center" vertical="center"/>
    </xf>
    <xf numFmtId="172" fontId="5" fillId="0" borderId="47" xfId="2" applyNumberFormat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 wrapText="1"/>
    </xf>
    <xf numFmtId="172" fontId="27" fillId="5" borderId="57" xfId="0" applyNumberFormat="1" applyFont="1" applyFill="1" applyBorder="1" applyAlignment="1">
      <alignment horizontal="center" vertical="center" wrapText="1"/>
    </xf>
    <xf numFmtId="172" fontId="27" fillId="5" borderId="12" xfId="0" applyNumberFormat="1" applyFont="1" applyFill="1" applyBorder="1" applyAlignment="1">
      <alignment horizontal="center" vertical="center" wrapText="1"/>
    </xf>
    <xf numFmtId="172" fontId="27" fillId="5" borderId="11" xfId="0" applyNumberFormat="1" applyFont="1" applyFill="1" applyBorder="1" applyAlignment="1">
      <alignment horizontal="center" vertical="center" wrapText="1"/>
    </xf>
    <xf numFmtId="172" fontId="27" fillId="5" borderId="28" xfId="0" applyNumberFormat="1" applyFont="1" applyFill="1" applyBorder="1" applyAlignment="1">
      <alignment horizontal="center" vertical="center" wrapText="1"/>
    </xf>
    <xf numFmtId="166" fontId="27" fillId="5" borderId="58" xfId="3" applyNumberFormat="1" applyFont="1" applyFill="1" applyBorder="1" applyAlignment="1">
      <alignment horizontal="center" vertical="center" wrapText="1"/>
    </xf>
    <xf numFmtId="166" fontId="27" fillId="5" borderId="15" xfId="3" applyNumberFormat="1" applyFont="1" applyFill="1" applyBorder="1" applyAlignment="1">
      <alignment horizontal="center" vertical="center" wrapText="1"/>
    </xf>
    <xf numFmtId="44" fontId="0" fillId="2" borderId="41" xfId="0" applyNumberFormat="1" applyFill="1" applyBorder="1" applyAlignment="1">
      <alignment vertical="center"/>
    </xf>
    <xf numFmtId="44" fontId="0" fillId="2" borderId="49" xfId="0" applyNumberFormat="1" applyFill="1" applyBorder="1" applyAlignment="1">
      <alignment vertical="center"/>
    </xf>
    <xf numFmtId="9" fontId="0" fillId="4" borderId="54" xfId="4" applyFont="1" applyFill="1" applyBorder="1" applyAlignment="1" applyProtection="1">
      <alignment horizontal="center" vertical="center" wrapText="1"/>
      <protection locked="0"/>
    </xf>
    <xf numFmtId="9" fontId="0" fillId="4" borderId="55" xfId="4" applyFont="1" applyFill="1" applyBorder="1" applyAlignment="1" applyProtection="1">
      <alignment horizontal="center" vertical="center" wrapText="1"/>
      <protection locked="0"/>
    </xf>
    <xf numFmtId="9" fontId="0" fillId="4" borderId="4" xfId="4" applyFont="1" applyFill="1" applyBorder="1" applyAlignment="1" applyProtection="1">
      <alignment horizontal="center" vertical="center" wrapText="1"/>
      <protection locked="0"/>
    </xf>
    <xf numFmtId="9" fontId="0" fillId="4" borderId="60" xfId="4" applyFont="1" applyFill="1" applyBorder="1" applyAlignment="1" applyProtection="1">
      <alignment horizontal="center" vertical="center" wrapText="1"/>
      <protection locked="0"/>
    </xf>
    <xf numFmtId="0" fontId="28" fillId="5" borderId="39" xfId="0" applyFont="1" applyFill="1" applyBorder="1" applyAlignment="1">
      <alignment horizontal="center" vertical="center"/>
    </xf>
    <xf numFmtId="0" fontId="28" fillId="5" borderId="40" xfId="0" applyFont="1" applyFill="1" applyBorder="1" applyAlignment="1">
      <alignment horizontal="center" vertical="center"/>
    </xf>
    <xf numFmtId="0" fontId="25" fillId="5" borderId="51" xfId="0" applyFont="1" applyFill="1" applyBorder="1" applyAlignment="1">
      <alignment horizontal="center" vertical="center" wrapText="1"/>
    </xf>
    <xf numFmtId="0" fontId="25" fillId="5" borderId="5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41" xfId="0" applyFont="1" applyFill="1" applyBorder="1" applyAlignment="1">
      <alignment horizontal="center" vertical="center"/>
    </xf>
    <xf numFmtId="0" fontId="28" fillId="5" borderId="49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 wrapText="1"/>
    </xf>
    <xf numFmtId="0" fontId="28" fillId="5" borderId="63" xfId="0" applyFont="1" applyFill="1" applyBorder="1" applyAlignment="1">
      <alignment horizontal="center" vertical="center"/>
    </xf>
    <xf numFmtId="0" fontId="28" fillId="5" borderId="27" xfId="0" applyFont="1" applyFill="1" applyBorder="1" applyAlignment="1">
      <alignment horizontal="center" vertical="center"/>
    </xf>
    <xf numFmtId="0" fontId="28" fillId="5" borderId="25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8" fillId="5" borderId="51" xfId="0" applyFont="1" applyFill="1" applyBorder="1" applyAlignment="1">
      <alignment horizontal="center" vertical="center"/>
    </xf>
    <xf numFmtId="0" fontId="28" fillId="5" borderId="75" xfId="0" applyFont="1" applyFill="1" applyBorder="1" applyAlignment="1">
      <alignment horizontal="center" vertical="center"/>
    </xf>
    <xf numFmtId="0" fontId="29" fillId="5" borderId="35" xfId="2" applyFont="1" applyFill="1" applyBorder="1" applyAlignment="1">
      <alignment horizontal="center"/>
    </xf>
    <xf numFmtId="0" fontId="29" fillId="5" borderId="36" xfId="2" applyFont="1" applyFill="1" applyBorder="1" applyAlignment="1">
      <alignment horizontal="center"/>
    </xf>
    <xf numFmtId="0" fontId="29" fillId="5" borderId="56" xfId="2" applyFont="1" applyFill="1" applyBorder="1" applyAlignment="1">
      <alignment horizontal="center"/>
    </xf>
    <xf numFmtId="0" fontId="8" fillId="0" borderId="0" xfId="2" applyFont="1" applyBorder="1" applyAlignment="1">
      <alignment horizontal="center" wrapText="1"/>
    </xf>
    <xf numFmtId="0" fontId="29" fillId="5" borderId="42" xfId="2" applyFont="1" applyFill="1" applyBorder="1" applyAlignment="1">
      <alignment horizontal="center"/>
    </xf>
  </cellXfs>
  <cellStyles count="125">
    <cellStyle name="Lien hypertexte" xfId="5" builtinId="8" hidden="1"/>
    <cellStyle name="Lien hypertexte" xfId="7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 visité" xfId="6" builtinId="9" hidden="1"/>
    <cellStyle name="Lien hypertexte visité" xfId="8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Milliers" xfId="9" builtinId="3"/>
    <cellStyle name="Milliers 2" xfId="3" xr:uid="{00000000-0005-0000-0000-000078000000}"/>
    <cellStyle name="Monétaire" xfId="1" builtinId="4"/>
    <cellStyle name="Normal" xfId="0" builtinId="0"/>
    <cellStyle name="Normal 2" xfId="2" xr:uid="{00000000-0005-0000-0000-00007B000000}"/>
    <cellStyle name="Pourcentage" xfId="4" builtinId="5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1</xdr:row>
      <xdr:rowOff>50800</xdr:rowOff>
    </xdr:from>
    <xdr:to>
      <xdr:col>2</xdr:col>
      <xdr:colOff>482600</xdr:colOff>
      <xdr:row>4</xdr:row>
      <xdr:rowOff>12700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F4083693-388A-6546-9211-4BBED27217D9}"/>
            </a:ext>
          </a:extLst>
        </xdr:cNvPr>
        <xdr:cNvSpPr/>
      </xdr:nvSpPr>
      <xdr:spPr>
        <a:xfrm>
          <a:off x="584200" y="254000"/>
          <a:ext cx="15494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Étape 1 </a:t>
          </a:r>
        </a:p>
      </xdr:txBody>
    </xdr:sp>
    <xdr:clientData/>
  </xdr:twoCellAnchor>
  <xdr:twoCellAnchor>
    <xdr:from>
      <xdr:col>0</xdr:col>
      <xdr:colOff>546100</xdr:colOff>
      <xdr:row>6</xdr:row>
      <xdr:rowOff>190500</xdr:rowOff>
    </xdr:from>
    <xdr:to>
      <xdr:col>2</xdr:col>
      <xdr:colOff>469900</xdr:colOff>
      <xdr:row>9</xdr:row>
      <xdr:rowOff>152400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ECF5A0B3-29F8-4444-A23B-7231E82FC1A0}"/>
            </a:ext>
          </a:extLst>
        </xdr:cNvPr>
        <xdr:cNvSpPr/>
      </xdr:nvSpPr>
      <xdr:spPr>
        <a:xfrm>
          <a:off x="546100" y="1409700"/>
          <a:ext cx="15748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Étape</a:t>
          </a:r>
          <a:r>
            <a:rPr lang="fr-FR" sz="1600" b="1" baseline="0"/>
            <a:t> 2</a:t>
          </a:r>
          <a:endParaRPr lang="fr-FR" sz="1600" b="1"/>
        </a:p>
      </xdr:txBody>
    </xdr:sp>
    <xdr:clientData/>
  </xdr:twoCellAnchor>
  <xdr:twoCellAnchor>
    <xdr:from>
      <xdr:col>1</xdr:col>
      <xdr:colOff>114300</xdr:colOff>
      <xdr:row>3</xdr:row>
      <xdr:rowOff>88900</xdr:rowOff>
    </xdr:from>
    <xdr:to>
      <xdr:col>8</xdr:col>
      <xdr:colOff>279400</xdr:colOff>
      <xdr:row>6</xdr:row>
      <xdr:rowOff>50800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1348DDE8-6F11-AC42-9EED-1B876A79ECA4}"/>
            </a:ext>
          </a:extLst>
        </xdr:cNvPr>
        <xdr:cNvSpPr/>
      </xdr:nvSpPr>
      <xdr:spPr>
        <a:xfrm>
          <a:off x="939800" y="698500"/>
          <a:ext cx="5943600" cy="571500"/>
        </a:xfrm>
        <a:prstGeom prst="roundRect">
          <a:avLst/>
        </a:prstGeom>
        <a:solidFill>
          <a:schemeClr val="bg1">
            <a:alpha val="8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0">
              <a:solidFill>
                <a:schemeClr val="tx1">
                  <a:lumMod val="75000"/>
                  <a:lumOff val="25000"/>
                </a:schemeClr>
              </a:solidFill>
            </a:rPr>
            <a:t>Remplir</a:t>
          </a:r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 la feuille "Données brutes".</a:t>
          </a:r>
          <a:endParaRPr lang="fr-FR" sz="16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101600</xdr:colOff>
      <xdr:row>9</xdr:row>
      <xdr:rowOff>38100</xdr:rowOff>
    </xdr:from>
    <xdr:to>
      <xdr:col>8</xdr:col>
      <xdr:colOff>266700</xdr:colOff>
      <xdr:row>12</xdr:row>
      <xdr:rowOff>0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30E22958-A2B8-814D-BF64-5C465392BED4}"/>
            </a:ext>
          </a:extLst>
        </xdr:cNvPr>
        <xdr:cNvSpPr/>
      </xdr:nvSpPr>
      <xdr:spPr>
        <a:xfrm>
          <a:off x="927100" y="1866900"/>
          <a:ext cx="5943600" cy="571500"/>
        </a:xfrm>
        <a:prstGeom prst="roundRect">
          <a:avLst/>
        </a:prstGeom>
        <a:solidFill>
          <a:schemeClr val="bg1">
            <a:alpha val="8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Remplir la feuille "Taux de change".</a:t>
          </a:r>
          <a:endParaRPr lang="fr-FR" sz="16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546100</xdr:colOff>
      <xdr:row>12</xdr:row>
      <xdr:rowOff>139700</xdr:rowOff>
    </xdr:from>
    <xdr:to>
      <xdr:col>2</xdr:col>
      <xdr:colOff>469900</xdr:colOff>
      <xdr:row>15</xdr:row>
      <xdr:rowOff>101600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97EAD402-B41D-F64D-BE70-5A60AA592B45}"/>
            </a:ext>
          </a:extLst>
        </xdr:cNvPr>
        <xdr:cNvSpPr/>
      </xdr:nvSpPr>
      <xdr:spPr>
        <a:xfrm>
          <a:off x="546100" y="2578100"/>
          <a:ext cx="15748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Étape</a:t>
          </a:r>
          <a:r>
            <a:rPr lang="fr-FR" sz="1600" b="1" baseline="0"/>
            <a:t> 3</a:t>
          </a:r>
          <a:endParaRPr lang="fr-FR" sz="1600" b="1"/>
        </a:p>
      </xdr:txBody>
    </xdr:sp>
    <xdr:clientData/>
  </xdr:twoCellAnchor>
  <xdr:twoCellAnchor>
    <xdr:from>
      <xdr:col>1</xdr:col>
      <xdr:colOff>127000</xdr:colOff>
      <xdr:row>14</xdr:row>
      <xdr:rowOff>190500</xdr:rowOff>
    </xdr:from>
    <xdr:to>
      <xdr:col>8</xdr:col>
      <xdr:colOff>292100</xdr:colOff>
      <xdr:row>17</xdr:row>
      <xdr:rowOff>152400</xdr:rowOff>
    </xdr:to>
    <xdr:sp macro="" textlink="">
      <xdr:nvSpPr>
        <xdr:cNvPr id="20" name="Rectangle : coins arrondis 19">
          <a:extLst>
            <a:ext uri="{FF2B5EF4-FFF2-40B4-BE49-F238E27FC236}">
              <a16:creationId xmlns:a16="http://schemas.microsoft.com/office/drawing/2014/main" id="{904F93FC-5F2E-864D-87AE-A510026BBD85}"/>
            </a:ext>
          </a:extLst>
        </xdr:cNvPr>
        <xdr:cNvSpPr/>
      </xdr:nvSpPr>
      <xdr:spPr>
        <a:xfrm>
          <a:off x="952500" y="3035300"/>
          <a:ext cx="5943600" cy="571500"/>
        </a:xfrm>
        <a:prstGeom prst="roundRect">
          <a:avLst/>
        </a:prstGeom>
        <a:solidFill>
          <a:schemeClr val="bg1">
            <a:alpha val="8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Remplir la feuille "Dim cofinancement".</a:t>
          </a:r>
          <a:r>
            <a:rPr lang="fr-FR" sz="1600" b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</a:p>
      </xdr:txBody>
    </xdr:sp>
    <xdr:clientData/>
  </xdr:twoCellAnchor>
  <xdr:twoCellAnchor>
    <xdr:from>
      <xdr:col>0</xdr:col>
      <xdr:colOff>596900</xdr:colOff>
      <xdr:row>18</xdr:row>
      <xdr:rowOff>127000</xdr:rowOff>
    </xdr:from>
    <xdr:to>
      <xdr:col>2</xdr:col>
      <xdr:colOff>520700</xdr:colOff>
      <xdr:row>21</xdr:row>
      <xdr:rowOff>88900</xdr:rowOff>
    </xdr:to>
    <xdr:sp macro="" textlink="">
      <xdr:nvSpPr>
        <xdr:cNvPr id="21" name="Rectangle : coins arrondis 20">
          <a:extLst>
            <a:ext uri="{FF2B5EF4-FFF2-40B4-BE49-F238E27FC236}">
              <a16:creationId xmlns:a16="http://schemas.microsoft.com/office/drawing/2014/main" id="{ED18161A-A522-3D45-B372-8A75AB7021D1}"/>
            </a:ext>
          </a:extLst>
        </xdr:cNvPr>
        <xdr:cNvSpPr/>
      </xdr:nvSpPr>
      <xdr:spPr>
        <a:xfrm>
          <a:off x="596900" y="3784600"/>
          <a:ext cx="15748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Étape</a:t>
          </a:r>
          <a:r>
            <a:rPr lang="fr-FR" sz="1600" b="1" baseline="0"/>
            <a:t> 4</a:t>
          </a:r>
          <a:endParaRPr lang="fr-FR" sz="1600" b="1"/>
        </a:p>
      </xdr:txBody>
    </xdr:sp>
    <xdr:clientData/>
  </xdr:twoCellAnchor>
  <xdr:twoCellAnchor>
    <xdr:from>
      <xdr:col>1</xdr:col>
      <xdr:colOff>177800</xdr:colOff>
      <xdr:row>20</xdr:row>
      <xdr:rowOff>177800</xdr:rowOff>
    </xdr:from>
    <xdr:to>
      <xdr:col>8</xdr:col>
      <xdr:colOff>342900</xdr:colOff>
      <xdr:row>25</xdr:row>
      <xdr:rowOff>190500</xdr:rowOff>
    </xdr:to>
    <xdr:sp macro="" textlink="">
      <xdr:nvSpPr>
        <xdr:cNvPr id="22" name="Rectangle : coins arrondis 21">
          <a:extLst>
            <a:ext uri="{FF2B5EF4-FFF2-40B4-BE49-F238E27FC236}">
              <a16:creationId xmlns:a16="http://schemas.microsoft.com/office/drawing/2014/main" id="{B181AB22-0EF4-B641-8EC8-A916833F5B9D}"/>
            </a:ext>
          </a:extLst>
        </xdr:cNvPr>
        <xdr:cNvSpPr/>
      </xdr:nvSpPr>
      <xdr:spPr>
        <a:xfrm>
          <a:off x="1003300" y="4241800"/>
          <a:ext cx="5943600" cy="1028700"/>
        </a:xfrm>
        <a:prstGeom prst="roundRect">
          <a:avLst/>
        </a:prstGeom>
        <a:solidFill>
          <a:schemeClr val="bg1">
            <a:alpha val="8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Définir le type de financement pour chaque investissement dans la feuille "Part de cofinancement" - tableau "Type de financement".</a:t>
          </a:r>
          <a:endParaRPr lang="fr-FR" sz="16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647700</xdr:colOff>
      <xdr:row>26</xdr:row>
      <xdr:rowOff>152400</xdr:rowOff>
    </xdr:from>
    <xdr:to>
      <xdr:col>2</xdr:col>
      <xdr:colOff>571500</xdr:colOff>
      <xdr:row>29</xdr:row>
      <xdr:rowOff>114300</xdr:rowOff>
    </xdr:to>
    <xdr:sp macro="" textlink="">
      <xdr:nvSpPr>
        <xdr:cNvPr id="23" name="Rectangle : coins arrondis 22">
          <a:extLst>
            <a:ext uri="{FF2B5EF4-FFF2-40B4-BE49-F238E27FC236}">
              <a16:creationId xmlns:a16="http://schemas.microsoft.com/office/drawing/2014/main" id="{B4D3C7BF-BA70-F142-BA22-F17C45A04F36}"/>
            </a:ext>
          </a:extLst>
        </xdr:cNvPr>
        <xdr:cNvSpPr/>
      </xdr:nvSpPr>
      <xdr:spPr>
        <a:xfrm>
          <a:off x="647700" y="5435600"/>
          <a:ext cx="15748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Étape</a:t>
          </a:r>
          <a:r>
            <a:rPr lang="fr-FR" sz="1600" b="1" baseline="0"/>
            <a:t> 5</a:t>
          </a:r>
          <a:endParaRPr lang="fr-FR" sz="1600" b="1"/>
        </a:p>
      </xdr:txBody>
    </xdr:sp>
    <xdr:clientData/>
  </xdr:twoCellAnchor>
  <xdr:twoCellAnchor>
    <xdr:from>
      <xdr:col>1</xdr:col>
      <xdr:colOff>228600</xdr:colOff>
      <xdr:row>29</xdr:row>
      <xdr:rowOff>0</xdr:rowOff>
    </xdr:from>
    <xdr:to>
      <xdr:col>8</xdr:col>
      <xdr:colOff>393700</xdr:colOff>
      <xdr:row>33</xdr:row>
      <xdr:rowOff>0</xdr:rowOff>
    </xdr:to>
    <xdr:sp macro="" textlink="">
      <xdr:nvSpPr>
        <xdr:cNvPr id="24" name="Rectangle : coins arrondis 23">
          <a:extLst>
            <a:ext uri="{FF2B5EF4-FFF2-40B4-BE49-F238E27FC236}">
              <a16:creationId xmlns:a16="http://schemas.microsoft.com/office/drawing/2014/main" id="{074D628D-63EE-AC40-B884-0B2C2C616634}"/>
            </a:ext>
          </a:extLst>
        </xdr:cNvPr>
        <xdr:cNvSpPr/>
      </xdr:nvSpPr>
      <xdr:spPr>
        <a:xfrm>
          <a:off x="1054100" y="5892800"/>
          <a:ext cx="5943600" cy="812800"/>
        </a:xfrm>
        <a:prstGeom prst="roundRect">
          <a:avLst/>
        </a:prstGeom>
        <a:solidFill>
          <a:schemeClr val="bg1">
            <a:alpha val="8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0">
              <a:solidFill>
                <a:schemeClr val="tx1">
                  <a:lumMod val="75000"/>
                  <a:lumOff val="25000"/>
                </a:schemeClr>
              </a:solidFill>
            </a:rPr>
            <a:t>Définir la mécanique</a:t>
          </a:r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 de tarification de l'électricité dans la feuille "Tarification".</a:t>
          </a:r>
          <a:endParaRPr lang="fr-FR" sz="16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9</xdr:col>
      <xdr:colOff>698500</xdr:colOff>
      <xdr:row>1</xdr:row>
      <xdr:rowOff>101600</xdr:rowOff>
    </xdr:from>
    <xdr:to>
      <xdr:col>11</xdr:col>
      <xdr:colOff>622300</xdr:colOff>
      <xdr:row>4</xdr:row>
      <xdr:rowOff>63500</xdr:rowOff>
    </xdr:to>
    <xdr:sp macro="" textlink="">
      <xdr:nvSpPr>
        <xdr:cNvPr id="28" name="Rectangle : coins arrondis 27">
          <a:extLst>
            <a:ext uri="{FF2B5EF4-FFF2-40B4-BE49-F238E27FC236}">
              <a16:creationId xmlns:a16="http://schemas.microsoft.com/office/drawing/2014/main" id="{9C24F723-F3E8-5E4A-B317-CB782F48AF72}"/>
            </a:ext>
          </a:extLst>
        </xdr:cNvPr>
        <xdr:cNvSpPr/>
      </xdr:nvSpPr>
      <xdr:spPr>
        <a:xfrm>
          <a:off x="8128000" y="304800"/>
          <a:ext cx="15748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Étape</a:t>
          </a:r>
          <a:r>
            <a:rPr lang="fr-FR" sz="1600" b="1" baseline="0"/>
            <a:t> 6</a:t>
          </a:r>
          <a:endParaRPr lang="fr-FR" sz="1600" b="1"/>
        </a:p>
      </xdr:txBody>
    </xdr:sp>
    <xdr:clientData/>
  </xdr:twoCellAnchor>
  <xdr:twoCellAnchor>
    <xdr:from>
      <xdr:col>10</xdr:col>
      <xdr:colOff>279400</xdr:colOff>
      <xdr:row>3</xdr:row>
      <xdr:rowOff>152400</xdr:rowOff>
    </xdr:from>
    <xdr:to>
      <xdr:col>17</xdr:col>
      <xdr:colOff>591704</xdr:colOff>
      <xdr:row>14</xdr:row>
      <xdr:rowOff>14432</xdr:rowOff>
    </xdr:to>
    <xdr:sp macro="" textlink="">
      <xdr:nvSpPr>
        <xdr:cNvPr id="29" name="Rectangle : coins arrondis 28">
          <a:extLst>
            <a:ext uri="{FF2B5EF4-FFF2-40B4-BE49-F238E27FC236}">
              <a16:creationId xmlns:a16="http://schemas.microsoft.com/office/drawing/2014/main" id="{A7C7F3F9-40E6-F045-9B84-2BA814883A27}"/>
            </a:ext>
          </a:extLst>
        </xdr:cNvPr>
        <xdr:cNvSpPr/>
      </xdr:nvSpPr>
      <xdr:spPr>
        <a:xfrm>
          <a:off x="8505536" y="758536"/>
          <a:ext cx="6070600" cy="2084532"/>
        </a:xfrm>
        <a:prstGeom prst="roundRect">
          <a:avLst/>
        </a:prstGeom>
        <a:solidFill>
          <a:schemeClr val="bg1">
            <a:alpha val="8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 b="0">
              <a:solidFill>
                <a:schemeClr val="tx1">
                  <a:lumMod val="75000"/>
                  <a:lumOff val="25000"/>
                </a:schemeClr>
              </a:solidFill>
            </a:rPr>
            <a:t>Définir des</a:t>
          </a:r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 catégories de cofinancement e</a:t>
          </a:r>
          <a:r>
            <a:rPr lang="fr-FR" sz="1600" b="0">
              <a:solidFill>
                <a:schemeClr val="tx1">
                  <a:lumMod val="75000"/>
                  <a:lumOff val="25000"/>
                </a:schemeClr>
              </a:solidFill>
            </a:rPr>
            <a:t>n</a:t>
          </a:r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 fonction : </a:t>
          </a:r>
        </a:p>
        <a:p>
          <a:pPr lvl="0" algn="l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         - des apports proposés </a:t>
          </a:r>
        </a:p>
        <a:p>
          <a:pPr lvl="0" algn="l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         - l'enveloppe budgétaire nécessaire à l'achat des récepteurs électriques pour chaque projet (colonnes S-T-U-V dans la feuille "Dim cofinancement"). </a:t>
          </a:r>
        </a:p>
        <a:p>
          <a:pPr lvl="0" algn="l"/>
          <a:endParaRPr lang="fr-FR" sz="1600" b="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lvl="0" algn="l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L'objectif étant ici de respecter au maximum les apports proposés par les porteurs de projets.</a:t>
          </a:r>
        </a:p>
      </xdr:txBody>
    </xdr:sp>
    <xdr:clientData/>
  </xdr:twoCellAnchor>
  <xdr:twoCellAnchor>
    <xdr:from>
      <xdr:col>9</xdr:col>
      <xdr:colOff>723900</xdr:colOff>
      <xdr:row>15</xdr:row>
      <xdr:rowOff>150089</xdr:rowOff>
    </xdr:from>
    <xdr:to>
      <xdr:col>11</xdr:col>
      <xdr:colOff>647700</xdr:colOff>
      <xdr:row>18</xdr:row>
      <xdr:rowOff>111989</xdr:rowOff>
    </xdr:to>
    <xdr:sp macro="" textlink="">
      <xdr:nvSpPr>
        <xdr:cNvPr id="30" name="Rectangle : coins arrondis 29">
          <a:extLst>
            <a:ext uri="{FF2B5EF4-FFF2-40B4-BE49-F238E27FC236}">
              <a16:creationId xmlns:a16="http://schemas.microsoft.com/office/drawing/2014/main" id="{CD032C3B-E675-9B40-AFFE-0D4C38129C9A}"/>
            </a:ext>
          </a:extLst>
        </xdr:cNvPr>
        <xdr:cNvSpPr/>
      </xdr:nvSpPr>
      <xdr:spPr>
        <a:xfrm>
          <a:off x="8127423" y="3180771"/>
          <a:ext cx="1569027" cy="56803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Étape</a:t>
          </a:r>
          <a:r>
            <a:rPr lang="fr-FR" sz="1600" b="1" baseline="0"/>
            <a:t> 7</a:t>
          </a:r>
          <a:endParaRPr lang="fr-FR" sz="1600" b="1"/>
        </a:p>
      </xdr:txBody>
    </xdr:sp>
    <xdr:clientData/>
  </xdr:twoCellAnchor>
  <xdr:twoCellAnchor>
    <xdr:from>
      <xdr:col>10</xdr:col>
      <xdr:colOff>304800</xdr:colOff>
      <xdr:row>17</xdr:row>
      <xdr:rowOff>200889</xdr:rowOff>
    </xdr:from>
    <xdr:to>
      <xdr:col>17</xdr:col>
      <xdr:colOff>649432</xdr:colOff>
      <xdr:row>23</xdr:row>
      <xdr:rowOff>124689</xdr:rowOff>
    </xdr:to>
    <xdr:sp macro="" textlink="">
      <xdr:nvSpPr>
        <xdr:cNvPr id="31" name="Rectangle : coins arrondis 30">
          <a:extLst>
            <a:ext uri="{FF2B5EF4-FFF2-40B4-BE49-F238E27FC236}">
              <a16:creationId xmlns:a16="http://schemas.microsoft.com/office/drawing/2014/main" id="{A1F108CA-D9D1-4A45-A7A7-AE32E3A8BD9D}"/>
            </a:ext>
          </a:extLst>
        </xdr:cNvPr>
        <xdr:cNvSpPr/>
      </xdr:nvSpPr>
      <xdr:spPr>
        <a:xfrm>
          <a:off x="8530936" y="3635662"/>
          <a:ext cx="6102928" cy="1136072"/>
        </a:xfrm>
        <a:prstGeom prst="roundRect">
          <a:avLst/>
        </a:prstGeom>
        <a:solidFill>
          <a:schemeClr val="bg1">
            <a:alpha val="8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0">
              <a:solidFill>
                <a:schemeClr val="tx1">
                  <a:lumMod val="75000"/>
                  <a:lumOff val="25000"/>
                </a:schemeClr>
              </a:solidFill>
            </a:rPr>
            <a:t>Inscrire les</a:t>
          </a:r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 hauteurs de cofinancement précédemment calculés dans la feuille "Part de cofinancement" (colonne A-B-C). </a:t>
          </a:r>
          <a:endParaRPr lang="fr-FR" sz="16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9</xdr:col>
      <xdr:colOff>520700</xdr:colOff>
      <xdr:row>24</xdr:row>
      <xdr:rowOff>86589</xdr:rowOff>
    </xdr:from>
    <xdr:to>
      <xdr:col>11</xdr:col>
      <xdr:colOff>444500</xdr:colOff>
      <xdr:row>27</xdr:row>
      <xdr:rowOff>49644</xdr:rowOff>
    </xdr:to>
    <xdr:sp macro="" textlink="">
      <xdr:nvSpPr>
        <xdr:cNvPr id="32" name="Rectangle : coins arrondis 31">
          <a:extLst>
            <a:ext uri="{FF2B5EF4-FFF2-40B4-BE49-F238E27FC236}">
              <a16:creationId xmlns:a16="http://schemas.microsoft.com/office/drawing/2014/main" id="{876CB472-02C9-CB45-A874-A6349CEA6EB3}"/>
            </a:ext>
          </a:extLst>
        </xdr:cNvPr>
        <xdr:cNvSpPr/>
      </xdr:nvSpPr>
      <xdr:spPr>
        <a:xfrm>
          <a:off x="7924223" y="4935680"/>
          <a:ext cx="1569027" cy="56919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Étape</a:t>
          </a:r>
          <a:r>
            <a:rPr lang="fr-FR" sz="1600" b="1" baseline="0"/>
            <a:t> 8</a:t>
          </a:r>
          <a:endParaRPr lang="fr-FR" sz="1600" b="1"/>
        </a:p>
      </xdr:txBody>
    </xdr:sp>
    <xdr:clientData/>
  </xdr:twoCellAnchor>
  <xdr:twoCellAnchor>
    <xdr:from>
      <xdr:col>10</xdr:col>
      <xdr:colOff>101599</xdr:colOff>
      <xdr:row>26</xdr:row>
      <xdr:rowOff>137389</xdr:rowOff>
    </xdr:from>
    <xdr:to>
      <xdr:col>17</xdr:col>
      <xdr:colOff>692726</xdr:colOff>
      <xdr:row>30</xdr:row>
      <xdr:rowOff>137389</xdr:rowOff>
    </xdr:to>
    <xdr:sp macro="" textlink="">
      <xdr:nvSpPr>
        <xdr:cNvPr id="33" name="Rectangle : coins arrondis 32">
          <a:extLst>
            <a:ext uri="{FF2B5EF4-FFF2-40B4-BE49-F238E27FC236}">
              <a16:creationId xmlns:a16="http://schemas.microsoft.com/office/drawing/2014/main" id="{FEE4B520-370F-4247-893A-C1C2AE5B1142}"/>
            </a:ext>
          </a:extLst>
        </xdr:cNvPr>
        <xdr:cNvSpPr/>
      </xdr:nvSpPr>
      <xdr:spPr>
        <a:xfrm>
          <a:off x="8327735" y="5390571"/>
          <a:ext cx="6349423" cy="808182"/>
        </a:xfrm>
        <a:prstGeom prst="roundRect">
          <a:avLst/>
        </a:prstGeom>
        <a:solidFill>
          <a:schemeClr val="bg1">
            <a:alpha val="8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Remplir les devis de raccordement pour chaque porteur de projet dans la feuille "Devis raccordement".</a:t>
          </a:r>
          <a:endParaRPr lang="fr-FR" sz="16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9</xdr:col>
      <xdr:colOff>508000</xdr:colOff>
      <xdr:row>31</xdr:row>
      <xdr:rowOff>124689</xdr:rowOff>
    </xdr:from>
    <xdr:to>
      <xdr:col>11</xdr:col>
      <xdr:colOff>431800</xdr:colOff>
      <xdr:row>34</xdr:row>
      <xdr:rowOff>86589</xdr:rowOff>
    </xdr:to>
    <xdr:sp macro="" textlink="">
      <xdr:nvSpPr>
        <xdr:cNvPr id="34" name="Rectangle : coins arrondis 33">
          <a:extLst>
            <a:ext uri="{FF2B5EF4-FFF2-40B4-BE49-F238E27FC236}">
              <a16:creationId xmlns:a16="http://schemas.microsoft.com/office/drawing/2014/main" id="{FC5A68FA-DB88-4B46-B56C-FB2F4F954555}"/>
            </a:ext>
          </a:extLst>
        </xdr:cNvPr>
        <xdr:cNvSpPr/>
      </xdr:nvSpPr>
      <xdr:spPr>
        <a:xfrm>
          <a:off x="7911523" y="6388098"/>
          <a:ext cx="1569027" cy="56803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Étape</a:t>
          </a:r>
          <a:r>
            <a:rPr lang="fr-FR" sz="1600" b="1" baseline="0"/>
            <a:t> 9</a:t>
          </a:r>
          <a:endParaRPr lang="fr-FR" sz="1600" b="1"/>
        </a:p>
      </xdr:txBody>
    </xdr:sp>
    <xdr:clientData/>
  </xdr:twoCellAnchor>
  <xdr:twoCellAnchor>
    <xdr:from>
      <xdr:col>10</xdr:col>
      <xdr:colOff>88899</xdr:colOff>
      <xdr:row>33</xdr:row>
      <xdr:rowOff>175489</xdr:rowOff>
    </xdr:from>
    <xdr:to>
      <xdr:col>17</xdr:col>
      <xdr:colOff>721590</xdr:colOff>
      <xdr:row>40</xdr:row>
      <xdr:rowOff>43296</xdr:rowOff>
    </xdr:to>
    <xdr:sp macro="" textlink="">
      <xdr:nvSpPr>
        <xdr:cNvPr id="35" name="Rectangle : coins arrondis 34">
          <a:extLst>
            <a:ext uri="{FF2B5EF4-FFF2-40B4-BE49-F238E27FC236}">
              <a16:creationId xmlns:a16="http://schemas.microsoft.com/office/drawing/2014/main" id="{E43DF48B-93E5-934B-B8EA-31A5B010A961}"/>
            </a:ext>
          </a:extLst>
        </xdr:cNvPr>
        <xdr:cNvSpPr/>
      </xdr:nvSpPr>
      <xdr:spPr>
        <a:xfrm>
          <a:off x="8315035" y="6842989"/>
          <a:ext cx="6390987" cy="1282125"/>
        </a:xfrm>
        <a:prstGeom prst="roundRect">
          <a:avLst/>
        </a:prstGeom>
        <a:solidFill>
          <a:schemeClr val="bg1">
            <a:alpha val="8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Récupérer les résultats financiers dans la feuille "Dim cofinancement" :</a:t>
          </a:r>
        </a:p>
        <a:p>
          <a:pPr algn="ctr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- Cofinancement : Colonne G-H </a:t>
          </a:r>
        </a:p>
        <a:p>
          <a:pPr algn="ctr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- Sous total porteur de projet : Colonne W-X-Y</a:t>
          </a:r>
        </a:p>
        <a:p>
          <a:pPr algn="ctr"/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- Sous total structure : Colonne AA</a:t>
          </a:r>
        </a:p>
      </xdr:txBody>
    </xdr:sp>
    <xdr:clientData/>
  </xdr:twoCellAnchor>
  <xdr:twoCellAnchor>
    <xdr:from>
      <xdr:col>4</xdr:col>
      <xdr:colOff>609600</xdr:colOff>
      <xdr:row>7</xdr:row>
      <xdr:rowOff>12700</xdr:rowOff>
    </xdr:from>
    <xdr:to>
      <xdr:col>4</xdr:col>
      <xdr:colOff>609600</xdr:colOff>
      <xdr:row>8</xdr:row>
      <xdr:rowOff>63500</xdr:rowOff>
    </xdr:to>
    <xdr:cxnSp macro="">
      <xdr:nvCxnSpPr>
        <xdr:cNvPr id="37" name="Connecteur droit avec flèche 36">
          <a:extLst>
            <a:ext uri="{FF2B5EF4-FFF2-40B4-BE49-F238E27FC236}">
              <a16:creationId xmlns:a16="http://schemas.microsoft.com/office/drawing/2014/main" id="{1BB57F78-2A32-3143-B1A0-BD6769D12DBC}"/>
            </a:ext>
          </a:extLst>
        </xdr:cNvPr>
        <xdr:cNvCxnSpPr/>
      </xdr:nvCxnSpPr>
      <xdr:spPr>
        <a:xfrm>
          <a:off x="3911600" y="1435100"/>
          <a:ext cx="0" cy="25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622300</xdr:colOff>
      <xdr:row>12</xdr:row>
      <xdr:rowOff>190500</xdr:rowOff>
    </xdr:from>
    <xdr:to>
      <xdr:col>4</xdr:col>
      <xdr:colOff>622300</xdr:colOff>
      <xdr:row>14</xdr:row>
      <xdr:rowOff>38100</xdr:rowOff>
    </xdr:to>
    <xdr:cxnSp macro="">
      <xdr:nvCxnSpPr>
        <xdr:cNvPr id="38" name="Connecteur droit avec flèche 37">
          <a:extLst>
            <a:ext uri="{FF2B5EF4-FFF2-40B4-BE49-F238E27FC236}">
              <a16:creationId xmlns:a16="http://schemas.microsoft.com/office/drawing/2014/main" id="{514D901C-FB33-614A-98C8-DA568020BE24}"/>
            </a:ext>
          </a:extLst>
        </xdr:cNvPr>
        <xdr:cNvCxnSpPr/>
      </xdr:nvCxnSpPr>
      <xdr:spPr>
        <a:xfrm>
          <a:off x="3924300" y="2628900"/>
          <a:ext cx="0" cy="25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635000</xdr:colOff>
      <xdr:row>18</xdr:row>
      <xdr:rowOff>127000</xdr:rowOff>
    </xdr:from>
    <xdr:to>
      <xdr:col>4</xdr:col>
      <xdr:colOff>635000</xdr:colOff>
      <xdr:row>19</xdr:row>
      <xdr:rowOff>177800</xdr:rowOff>
    </xdr:to>
    <xdr:cxnSp macro="">
      <xdr:nvCxnSpPr>
        <xdr:cNvPr id="39" name="Connecteur droit avec flèche 38">
          <a:extLst>
            <a:ext uri="{FF2B5EF4-FFF2-40B4-BE49-F238E27FC236}">
              <a16:creationId xmlns:a16="http://schemas.microsoft.com/office/drawing/2014/main" id="{38FCCCF6-3CCE-F048-A5BA-719F6F82D86D}"/>
            </a:ext>
          </a:extLst>
        </xdr:cNvPr>
        <xdr:cNvCxnSpPr/>
      </xdr:nvCxnSpPr>
      <xdr:spPr>
        <a:xfrm>
          <a:off x="3937000" y="3784600"/>
          <a:ext cx="0" cy="25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26</xdr:row>
      <xdr:rowOff>127000</xdr:rowOff>
    </xdr:from>
    <xdr:to>
      <xdr:col>4</xdr:col>
      <xdr:colOff>647700</xdr:colOff>
      <xdr:row>27</xdr:row>
      <xdr:rowOff>177800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4E81CC6F-6D6A-064C-90B6-5E5E018CEA63}"/>
            </a:ext>
          </a:extLst>
        </xdr:cNvPr>
        <xdr:cNvCxnSpPr/>
      </xdr:nvCxnSpPr>
      <xdr:spPr>
        <a:xfrm>
          <a:off x="3949700" y="5410200"/>
          <a:ext cx="0" cy="25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723900</xdr:colOff>
      <xdr:row>15</xdr:row>
      <xdr:rowOff>132196</xdr:rowOff>
    </xdr:from>
    <xdr:to>
      <xdr:col>13</xdr:col>
      <xdr:colOff>723900</xdr:colOff>
      <xdr:row>16</xdr:row>
      <xdr:rowOff>182996</xdr:rowOff>
    </xdr:to>
    <xdr:cxnSp macro="">
      <xdr:nvCxnSpPr>
        <xdr:cNvPr id="41" name="Connecteur droit avec flèche 40">
          <a:extLst>
            <a:ext uri="{FF2B5EF4-FFF2-40B4-BE49-F238E27FC236}">
              <a16:creationId xmlns:a16="http://schemas.microsoft.com/office/drawing/2014/main" id="{84E2F7DD-C7DA-BA41-8ABF-26CDA2EBF64D}"/>
            </a:ext>
          </a:extLst>
        </xdr:cNvPr>
        <xdr:cNvCxnSpPr/>
      </xdr:nvCxnSpPr>
      <xdr:spPr>
        <a:xfrm>
          <a:off x="11417877" y="3162878"/>
          <a:ext cx="0" cy="25284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736600</xdr:colOff>
      <xdr:row>24</xdr:row>
      <xdr:rowOff>76200</xdr:rowOff>
    </xdr:from>
    <xdr:to>
      <xdr:col>13</xdr:col>
      <xdr:colOff>736600</xdr:colOff>
      <xdr:row>25</xdr:row>
      <xdr:rowOff>127000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id="{7FCE3173-A736-C84F-AFE2-B9B9B408B468}"/>
            </a:ext>
          </a:extLst>
        </xdr:cNvPr>
        <xdr:cNvCxnSpPr/>
      </xdr:nvCxnSpPr>
      <xdr:spPr>
        <a:xfrm>
          <a:off x="11468100" y="4953000"/>
          <a:ext cx="0" cy="25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736600</xdr:colOff>
      <xdr:row>31</xdr:row>
      <xdr:rowOff>139700</xdr:rowOff>
    </xdr:from>
    <xdr:to>
      <xdr:col>13</xdr:col>
      <xdr:colOff>736600</xdr:colOff>
      <xdr:row>32</xdr:row>
      <xdr:rowOff>190500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276E8C97-EEF4-4F48-9DB5-CB82234AA2C1}"/>
            </a:ext>
          </a:extLst>
        </xdr:cNvPr>
        <xdr:cNvCxnSpPr/>
      </xdr:nvCxnSpPr>
      <xdr:spPr>
        <a:xfrm>
          <a:off x="11468100" y="6438900"/>
          <a:ext cx="0" cy="25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629806</xdr:colOff>
      <xdr:row>39</xdr:row>
      <xdr:rowOff>7503</xdr:rowOff>
    </xdr:from>
    <xdr:to>
      <xdr:col>8</xdr:col>
      <xdr:colOff>562842</xdr:colOff>
      <xdr:row>41</xdr:row>
      <xdr:rowOff>171449</xdr:rowOff>
    </xdr:to>
    <xdr:sp macro="" textlink="">
      <xdr:nvSpPr>
        <xdr:cNvPr id="44" name="Rectangle : coins arrondis 43">
          <a:extLst>
            <a:ext uri="{FF2B5EF4-FFF2-40B4-BE49-F238E27FC236}">
              <a16:creationId xmlns:a16="http://schemas.microsoft.com/office/drawing/2014/main" id="{873BD1BC-4176-1F41-8FC4-B3E1C034BCDE}"/>
            </a:ext>
          </a:extLst>
        </xdr:cNvPr>
        <xdr:cNvSpPr/>
      </xdr:nvSpPr>
      <xdr:spPr>
        <a:xfrm>
          <a:off x="4742874" y="7887276"/>
          <a:ext cx="2400877" cy="568037"/>
        </a:xfrm>
        <a:prstGeom prst="roundRect">
          <a:avLst/>
        </a:prstGeom>
        <a:solidFill>
          <a:schemeClr val="accent2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Indication d'utilisation</a:t>
          </a:r>
        </a:p>
      </xdr:txBody>
    </xdr:sp>
    <xdr:clientData/>
  </xdr:twoCellAnchor>
  <xdr:twoCellAnchor>
    <xdr:from>
      <xdr:col>6</xdr:col>
      <xdr:colOff>210706</xdr:colOff>
      <xdr:row>41</xdr:row>
      <xdr:rowOff>58303</xdr:rowOff>
    </xdr:from>
    <xdr:to>
      <xdr:col>13</xdr:col>
      <xdr:colOff>375806</xdr:colOff>
      <xdr:row>43</xdr:row>
      <xdr:rowOff>96403</xdr:rowOff>
    </xdr:to>
    <xdr:sp macro="" textlink="">
      <xdr:nvSpPr>
        <xdr:cNvPr id="45" name="Rectangle : coins arrondis 44">
          <a:extLst>
            <a:ext uri="{FF2B5EF4-FFF2-40B4-BE49-F238E27FC236}">
              <a16:creationId xmlns:a16="http://schemas.microsoft.com/office/drawing/2014/main" id="{126160B5-137F-0546-82D8-7B92C28BF18A}"/>
            </a:ext>
          </a:extLst>
        </xdr:cNvPr>
        <xdr:cNvSpPr/>
      </xdr:nvSpPr>
      <xdr:spPr>
        <a:xfrm>
          <a:off x="5146388" y="8342167"/>
          <a:ext cx="5923395" cy="442191"/>
        </a:xfrm>
        <a:prstGeom prst="roundRect">
          <a:avLst/>
        </a:prstGeom>
        <a:solidFill>
          <a:schemeClr val="bg1">
            <a:alpha val="82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0">
              <a:solidFill>
                <a:schemeClr val="tx1">
                  <a:lumMod val="75000"/>
                  <a:lumOff val="25000"/>
                </a:schemeClr>
              </a:solidFill>
            </a:rPr>
            <a:t>Seules</a:t>
          </a:r>
          <a:r>
            <a:rPr lang="fr-FR" sz="1600" b="0" baseline="0">
              <a:solidFill>
                <a:schemeClr val="tx1">
                  <a:lumMod val="75000"/>
                  <a:lumOff val="25000"/>
                </a:schemeClr>
              </a:solidFill>
            </a:rPr>
            <a:t> les cases jaunes sont à modifier.</a:t>
          </a:r>
          <a:endParaRPr lang="fr-FR" sz="16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Fondation/4.%20Programmes/Programmes%20en%20cours/4%20PAMELA/8%20-%20M&#233;thodologie/5-%20Outils%20de%20m&#233;thodologie/Outils%20FONDEM/S&#233;lection/MALLETTE%20OUTILS%20EVALUATION%20PROJET%20%20POUR%20PAMELA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éroula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08A9-AE58-A249-A01F-5569D0650153}">
  <dimension ref="D4"/>
  <sheetViews>
    <sheetView showGridLines="0" showRowColHeaders="0" tabSelected="1" zoomScale="88" zoomScaleNormal="88" workbookViewId="0">
      <selection activeCell="U33" sqref="U33"/>
    </sheetView>
  </sheetViews>
  <sheetFormatPr baseColWidth="10" defaultRowHeight="16" x14ac:dyDescent="0.2"/>
  <sheetData>
    <row r="4" spans="4:4" x14ac:dyDescent="0.2">
      <c r="D4" s="2"/>
    </row>
  </sheetData>
  <sheetProtection algorithmName="SHA-512" hashValue="NStqGcMtxiXr7E+RMdDIzItPHH+FF+B6MVnogi3OSAy9E1PLHIxI+jNqRmDKXc2yy3aNDO8IYM1VO29dULwsRw==" saltValue="mAkDd3fiXYLZO60a/IOzIA==" spinCount="100000" sheet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"/>
  <sheetViews>
    <sheetView showGridLines="0" workbookViewId="0">
      <pane ySplit="2" topLeftCell="A3" activePane="bottomLeft" state="frozen"/>
      <selection pane="bottomLeft" activeCell="J11" sqref="J11:J13"/>
    </sheetView>
  </sheetViews>
  <sheetFormatPr baseColWidth="10" defaultColWidth="9.1640625" defaultRowHeight="16" x14ac:dyDescent="0.2"/>
  <cols>
    <col min="1" max="1" width="3.5" style="1" bestFit="1" customWidth="1"/>
    <col min="2" max="2" width="26.1640625" style="1" bestFit="1" customWidth="1"/>
    <col min="3" max="3" width="15" style="1" bestFit="1" customWidth="1"/>
    <col min="4" max="4" width="21.1640625" style="1" bestFit="1" customWidth="1"/>
    <col min="5" max="5" width="11" style="1" bestFit="1" customWidth="1"/>
    <col min="6" max="6" width="15" style="8" bestFit="1" customWidth="1"/>
    <col min="7" max="7" width="14.5" style="1" customWidth="1"/>
    <col min="8" max="8" width="19.83203125" style="17" bestFit="1" customWidth="1"/>
    <col min="9" max="9" width="11.33203125" style="8" bestFit="1" customWidth="1"/>
    <col min="10" max="10" width="26.1640625" style="8" customWidth="1"/>
    <col min="11" max="11" width="19.33203125" style="8" customWidth="1"/>
    <col min="12" max="12" width="18.1640625" style="1" customWidth="1"/>
    <col min="13" max="13" width="15.6640625" style="14" customWidth="1"/>
    <col min="14" max="15" width="18.83203125" style="1" bestFit="1" customWidth="1"/>
    <col min="16" max="16" width="17.5" style="1" bestFit="1" customWidth="1"/>
    <col min="17" max="17" width="19.83203125" style="1" customWidth="1"/>
    <col min="18" max="18" width="29.33203125" style="1" bestFit="1" customWidth="1"/>
    <col min="19" max="19" width="19.1640625" style="35" bestFit="1" customWidth="1"/>
    <col min="20" max="20" width="23.6640625" style="16" customWidth="1"/>
    <col min="21" max="21" width="84" style="1" customWidth="1"/>
    <col min="22" max="22" width="9.1640625" style="1"/>
    <col min="23" max="23" width="9.1640625" style="1" customWidth="1"/>
    <col min="24" max="16384" width="9.1640625" style="1"/>
  </cols>
  <sheetData>
    <row r="1" spans="1:26" s="69" customFormat="1" ht="15" customHeight="1" x14ac:dyDescent="0.2">
      <c r="A1" s="286" t="s">
        <v>0</v>
      </c>
      <c r="B1" s="288" t="s">
        <v>24</v>
      </c>
      <c r="C1" s="288" t="s">
        <v>62</v>
      </c>
      <c r="D1" s="288" t="s">
        <v>63</v>
      </c>
      <c r="E1" s="277" t="s">
        <v>12</v>
      </c>
      <c r="F1" s="339" t="s">
        <v>64</v>
      </c>
      <c r="G1" s="277" t="s">
        <v>19</v>
      </c>
      <c r="H1" s="343" t="s">
        <v>20</v>
      </c>
      <c r="I1" s="341" t="s">
        <v>35</v>
      </c>
      <c r="J1" s="341" t="s">
        <v>22</v>
      </c>
      <c r="K1" s="341" t="s">
        <v>2</v>
      </c>
      <c r="L1" s="351" t="s">
        <v>3</v>
      </c>
      <c r="M1" s="352"/>
      <c r="N1" s="277" t="s">
        <v>4</v>
      </c>
      <c r="O1" s="288" t="s">
        <v>13</v>
      </c>
      <c r="P1" s="277" t="s">
        <v>53</v>
      </c>
      <c r="Q1" s="277" t="s">
        <v>15</v>
      </c>
      <c r="R1" s="277" t="s">
        <v>16</v>
      </c>
      <c r="S1" s="284" t="s">
        <v>17</v>
      </c>
      <c r="T1" s="373" t="s">
        <v>18</v>
      </c>
      <c r="U1" s="355" t="s">
        <v>49</v>
      </c>
    </row>
    <row r="2" spans="1:26" s="69" customFormat="1" ht="44" customHeight="1" x14ac:dyDescent="0.2">
      <c r="A2" s="287"/>
      <c r="B2" s="289"/>
      <c r="C2" s="289"/>
      <c r="D2" s="289"/>
      <c r="E2" s="278"/>
      <c r="F2" s="340"/>
      <c r="G2" s="278"/>
      <c r="H2" s="344"/>
      <c r="I2" s="340"/>
      <c r="J2" s="342"/>
      <c r="K2" s="342"/>
      <c r="L2" s="353"/>
      <c r="M2" s="354"/>
      <c r="N2" s="278"/>
      <c r="O2" s="289"/>
      <c r="P2" s="278"/>
      <c r="Q2" s="278"/>
      <c r="R2" s="278"/>
      <c r="S2" s="285"/>
      <c r="T2" s="374"/>
      <c r="U2" s="356"/>
    </row>
    <row r="3" spans="1:26" s="210" customFormat="1" ht="19" x14ac:dyDescent="0.2">
      <c r="A3" s="290" t="s">
        <v>60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2"/>
    </row>
    <row r="4" spans="1:26" x14ac:dyDescent="0.2">
      <c r="A4" s="265">
        <v>1</v>
      </c>
      <c r="B4" s="306" t="s">
        <v>61</v>
      </c>
      <c r="C4" s="309"/>
      <c r="D4" s="200"/>
      <c r="E4" s="201"/>
      <c r="F4" s="202"/>
      <c r="G4" s="306"/>
      <c r="H4" s="345"/>
      <c r="I4" s="328" t="str">
        <f>IF(SUM(F4:F6)=0,"",SUM(F4:F6))</f>
        <v/>
      </c>
      <c r="J4" s="274"/>
      <c r="K4" s="208"/>
      <c r="L4" s="6" t="str">
        <f>IF(K4*E4=0,"",K4*E4)</f>
        <v/>
      </c>
      <c r="M4" s="282" t="str">
        <f>IF(SUM(L4:L9)/1000=0,"",SUM(L4:L9)/1000)</f>
        <v/>
      </c>
      <c r="N4" s="271" t="str">
        <f>IF(SUM(L4:L6)*30/1000=0,"",SUM(L4:L6)*30/1000)</f>
        <v/>
      </c>
      <c r="O4" s="268" t="str">
        <f>IF(N4="","",IF(N4&gt;45,Tarification!$D$50+Tarification!$F$4*N4,VLOOKUP(N4,Tarification!$B$5:$M$50,8)))</f>
        <v/>
      </c>
      <c r="P4" s="279"/>
      <c r="Q4" s="279"/>
      <c r="R4" s="279"/>
      <c r="S4" s="369" t="e">
        <f>-I4+(((Q4*12-(O4+P4)*12-I4/5)*0.7+I4/5)*(1+0.12)^(-1))+(((Q4*12-(O4+P4)*12-I4/5)*0.7+I4/5)*(1+0.12)^(-2))+(((Q4*12-(O4+P4)*12-I4/5)*0.7+I4/5)*(1+0.12)^(-3))+(((Q4*12-(O4+P4)*12-I4/5)*0.7+I4/5)*(1+0.12)^(-4))+(((Q4*12-(O4+P4)*12-I4/5)*0.7+I4/5)*(1+0.12)^(-5))</f>
        <v>#VALUE!</v>
      </c>
      <c r="T4" s="293" t="e">
        <f>IF(S4&gt;1,"Projet rentable","Projet non rentable")</f>
        <v>#VALUE!</v>
      </c>
      <c r="U4" s="357"/>
    </row>
    <row r="5" spans="1:26" x14ac:dyDescent="0.2">
      <c r="A5" s="266"/>
      <c r="B5" s="307"/>
      <c r="C5" s="310"/>
      <c r="D5" s="200"/>
      <c r="E5" s="201"/>
      <c r="F5" s="202"/>
      <c r="G5" s="307"/>
      <c r="H5" s="346"/>
      <c r="I5" s="329"/>
      <c r="J5" s="275"/>
      <c r="K5" s="208"/>
      <c r="L5" s="6" t="str">
        <f t="shared" ref="L5:L9" si="0">IF(K5*E5=0,"",K5*E5)</f>
        <v/>
      </c>
      <c r="M5" s="283"/>
      <c r="N5" s="272"/>
      <c r="O5" s="269"/>
      <c r="P5" s="280"/>
      <c r="Q5" s="280"/>
      <c r="R5" s="280"/>
      <c r="S5" s="370"/>
      <c r="T5" s="294"/>
      <c r="U5" s="358"/>
    </row>
    <row r="6" spans="1:26" x14ac:dyDescent="0.2">
      <c r="A6" s="267"/>
      <c r="B6" s="308"/>
      <c r="C6" s="311"/>
      <c r="D6" s="203"/>
      <c r="E6" s="204"/>
      <c r="F6" s="205"/>
      <c r="G6" s="308"/>
      <c r="H6" s="347"/>
      <c r="I6" s="330"/>
      <c r="J6" s="276"/>
      <c r="K6" s="208"/>
      <c r="L6" s="6" t="str">
        <f t="shared" si="0"/>
        <v/>
      </c>
      <c r="M6" s="283"/>
      <c r="N6" s="273"/>
      <c r="O6" s="270"/>
      <c r="P6" s="281"/>
      <c r="Q6" s="281"/>
      <c r="R6" s="281"/>
      <c r="S6" s="371"/>
      <c r="T6" s="295"/>
      <c r="U6" s="359"/>
    </row>
    <row r="7" spans="1:26" x14ac:dyDescent="0.2">
      <c r="A7" s="312">
        <v>2</v>
      </c>
      <c r="B7" s="306" t="s">
        <v>65</v>
      </c>
      <c r="C7" s="309"/>
      <c r="D7" s="203"/>
      <c r="E7" s="201"/>
      <c r="F7" s="202"/>
      <c r="G7" s="306"/>
      <c r="H7" s="348"/>
      <c r="I7" s="328" t="str">
        <f>IF(SUM(F7:F9)=0,"",SUM(F7:F9))</f>
        <v/>
      </c>
      <c r="J7" s="274"/>
      <c r="K7" s="208"/>
      <c r="L7" s="6" t="str">
        <f t="shared" si="0"/>
        <v/>
      </c>
      <c r="M7" s="283"/>
      <c r="N7" s="271" t="str">
        <f>IF(30*SUM(L7:L9)/1000=0,"",30*SUM(L7:L9)/1000)</f>
        <v/>
      </c>
      <c r="O7" s="268" t="str">
        <f>IF(N7="","",IF(N7&gt;45,Tarification!$D$50+Tarification!$F$4*N7,VLOOKUP(N7,Tarification!$B$5:$M$50,8)))</f>
        <v/>
      </c>
      <c r="P7" s="279"/>
      <c r="Q7" s="279"/>
      <c r="R7" s="279"/>
      <c r="S7" s="369" t="e">
        <f>-I7+(((Q7*12-(O7+P7)*12-I7/5)*0.7+I7/5)*(1+0.12)^(-1))+(((Q7*12-(O7+P7)*12-I7/5)*0.7+I7/5)*(1+0.12)^(-2))+(((Q7*12-(O7+P7)*12-I7/5)*0.7+I7/5)*(1+0.12)^(-3))+(((Q7*12-(O7+P7)*12-I7/5)*0.7+I7/5)*(1+0.12)^(-4))+(((Q7*12-(O7+P7)*12-I7/5)*0.7+I7/5)*(1+0.12)^(-5))</f>
        <v>#VALUE!</v>
      </c>
      <c r="T7" s="296" t="e">
        <f>IF(S7&gt;1,"Projet rentable","Projet non rentable")</f>
        <v>#VALUE!</v>
      </c>
      <c r="U7" s="357"/>
      <c r="Z7" s="15"/>
    </row>
    <row r="8" spans="1:26" x14ac:dyDescent="0.2">
      <c r="A8" s="313"/>
      <c r="B8" s="307"/>
      <c r="C8" s="310"/>
      <c r="D8" s="203"/>
      <c r="E8" s="201"/>
      <c r="F8" s="202"/>
      <c r="G8" s="307"/>
      <c r="H8" s="349"/>
      <c r="I8" s="329"/>
      <c r="J8" s="275"/>
      <c r="K8" s="208"/>
      <c r="L8" s="6" t="str">
        <f t="shared" si="0"/>
        <v/>
      </c>
      <c r="M8" s="283"/>
      <c r="N8" s="272"/>
      <c r="O8" s="269"/>
      <c r="P8" s="280"/>
      <c r="Q8" s="280"/>
      <c r="R8" s="280"/>
      <c r="S8" s="370"/>
      <c r="T8" s="297"/>
      <c r="U8" s="358"/>
      <c r="Z8" s="15"/>
    </row>
    <row r="9" spans="1:26" x14ac:dyDescent="0.2">
      <c r="A9" s="314"/>
      <c r="B9" s="308"/>
      <c r="C9" s="311"/>
      <c r="D9" s="200"/>
      <c r="E9" s="201"/>
      <c r="F9" s="202"/>
      <c r="G9" s="308"/>
      <c r="H9" s="350"/>
      <c r="I9" s="330"/>
      <c r="J9" s="276"/>
      <c r="K9" s="208"/>
      <c r="L9" s="6" t="str">
        <f t="shared" si="0"/>
        <v/>
      </c>
      <c r="M9" s="283"/>
      <c r="N9" s="273"/>
      <c r="O9" s="270"/>
      <c r="P9" s="281"/>
      <c r="Q9" s="281"/>
      <c r="R9" s="281"/>
      <c r="S9" s="371"/>
      <c r="T9" s="298"/>
      <c r="U9" s="372"/>
      <c r="Z9" s="15"/>
    </row>
    <row r="10" spans="1:26" s="210" customFormat="1" ht="19" x14ac:dyDescent="0.2">
      <c r="A10" s="290" t="s">
        <v>70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2"/>
    </row>
    <row r="11" spans="1:26" x14ac:dyDescent="0.2">
      <c r="A11" s="304">
        <v>3</v>
      </c>
      <c r="B11" s="306" t="s">
        <v>66</v>
      </c>
      <c r="C11" s="306"/>
      <c r="D11" s="203"/>
      <c r="E11" s="206"/>
      <c r="F11" s="202"/>
      <c r="G11" s="306"/>
      <c r="H11" s="348"/>
      <c r="I11" s="328" t="str">
        <f>IF(SUM(F11:F13)=0,"",SUM(F11:F13))</f>
        <v/>
      </c>
      <c r="J11" s="274"/>
      <c r="K11" s="208"/>
      <c r="L11" s="6" t="str">
        <f>IF(K11*E11=0,"",K11*E11)</f>
        <v/>
      </c>
      <c r="M11" s="282" t="str">
        <f>IF(SUM(L11:L22)/1000=0,"",SUM(L11:L22)/1000)</f>
        <v/>
      </c>
      <c r="N11" s="271" t="str">
        <f>IF(SUM(L11:L13)*30/1000=0,"",SUM(L11:L13)*30/1000)</f>
        <v/>
      </c>
      <c r="O11" s="268" t="str">
        <f>IF(N11="","",IF(N11&gt;45,Tarification!$D$50+Tarification!$F$4*N11,VLOOKUP(N11,Tarification!$B$5:$M$50,8)))</f>
        <v/>
      </c>
      <c r="P11" s="279"/>
      <c r="Q11" s="279"/>
      <c r="R11" s="279"/>
      <c r="S11" s="369" t="e">
        <f>-I11+(((Q11*12-(O11+P11)*12-I11/5)*0.7+I11/5)*(1+0.12)^(-1))+(((Q11*12-(O11+P11)*12-I11/5)*0.7+I11/5)*(1+0.12)^(-2))+(((Q11*12-(O11+P11)*12-I11/5)*0.7+I11/5)*(1+0.12)^(-3))+(((Q11*12-(O11+P11)*12-I11/5)*0.7+I11/5)*(1+0.12)^(-4))+(((Q11*12-(O11+P11)*12-I11/5)*0.7+I11/5)*(1+0.12)^(-5))</f>
        <v>#VALUE!</v>
      </c>
      <c r="T11" s="296" t="e">
        <f>IF(S11&gt;1,"Projet rentable","Projet non rentable")</f>
        <v>#VALUE!</v>
      </c>
      <c r="U11" s="367"/>
    </row>
    <row r="12" spans="1:26" x14ac:dyDescent="0.2">
      <c r="A12" s="305"/>
      <c r="B12" s="307"/>
      <c r="C12" s="307"/>
      <c r="D12" s="203"/>
      <c r="E12" s="204"/>
      <c r="F12" s="205"/>
      <c r="G12" s="307"/>
      <c r="H12" s="349"/>
      <c r="I12" s="329"/>
      <c r="J12" s="275"/>
      <c r="K12" s="208"/>
      <c r="L12" s="6" t="str">
        <f t="shared" ref="L12:L22" si="1">IF(K12*E12=0,"",K12*E12)</f>
        <v/>
      </c>
      <c r="M12" s="283"/>
      <c r="N12" s="272"/>
      <c r="O12" s="269"/>
      <c r="P12" s="280"/>
      <c r="Q12" s="280"/>
      <c r="R12" s="280"/>
      <c r="S12" s="370"/>
      <c r="T12" s="297"/>
      <c r="U12" s="368"/>
    </row>
    <row r="13" spans="1:26" x14ac:dyDescent="0.2">
      <c r="A13" s="324"/>
      <c r="B13" s="308"/>
      <c r="C13" s="308"/>
      <c r="D13" s="203"/>
      <c r="E13" s="204"/>
      <c r="F13" s="205"/>
      <c r="G13" s="308"/>
      <c r="H13" s="350"/>
      <c r="I13" s="330"/>
      <c r="J13" s="276"/>
      <c r="K13" s="208"/>
      <c r="L13" s="6" t="str">
        <f t="shared" si="1"/>
        <v/>
      </c>
      <c r="M13" s="283"/>
      <c r="N13" s="273"/>
      <c r="O13" s="270"/>
      <c r="P13" s="281"/>
      <c r="Q13" s="281"/>
      <c r="R13" s="281"/>
      <c r="S13" s="371"/>
      <c r="T13" s="298"/>
      <c r="U13" s="368"/>
    </row>
    <row r="14" spans="1:26" x14ac:dyDescent="0.2">
      <c r="A14" s="315">
        <v>4</v>
      </c>
      <c r="B14" s="306" t="s">
        <v>67</v>
      </c>
      <c r="C14" s="306"/>
      <c r="D14" s="200"/>
      <c r="E14" s="207"/>
      <c r="F14" s="205"/>
      <c r="G14" s="331"/>
      <c r="H14" s="325"/>
      <c r="I14" s="318" t="str">
        <f>IF(SUM(F14:F16)=0,"",SUM(F14:F16))</f>
        <v/>
      </c>
      <c r="J14" s="274"/>
      <c r="K14" s="209"/>
      <c r="L14" s="6" t="str">
        <f t="shared" si="1"/>
        <v/>
      </c>
      <c r="M14" s="283"/>
      <c r="N14" s="271" t="str">
        <f>IF(SUM(L14:L16)*30/1000=0,"",SUM(L14:L16)*30/1000)</f>
        <v/>
      </c>
      <c r="O14" s="268" t="str">
        <f>IF(N14="","",IF(N14&gt;45,Tarification!$D$50+Tarification!$F$4*N14,VLOOKUP(N14,Tarification!$B$5:$M$50,8)))</f>
        <v/>
      </c>
      <c r="P14" s="279"/>
      <c r="Q14" s="279"/>
      <c r="R14" s="279"/>
      <c r="S14" s="369" t="e">
        <f>-I14+(((Q14*12-(O14+P14)*12-I14/5)*0.7+I14/5)*(1+0.12)^(-1))+(((Q14*12-(O14+P14)*12-I14/5)*0.7+I14/5)*(1+0.12)^(-2))+(((Q14*12-(O14+P14)*12-I14/5)*0.7+I14/5)*(1+0.12)^(-3))+(((Q14*12-(O14+P14)*12-I14/5)*0.7+I14/5)*(1+0.12)^(-4))+(((Q14*12-(O14+P14)*12-I14/5)*0.7+I14/5)*(1+0.12)^(-5))</f>
        <v>#VALUE!</v>
      </c>
      <c r="T14" s="299" t="e">
        <f>IF(S14&gt;1,"Projet rentable","Projet non rentable")</f>
        <v>#VALUE!</v>
      </c>
      <c r="U14" s="364"/>
    </row>
    <row r="15" spans="1:26" x14ac:dyDescent="0.2">
      <c r="A15" s="316"/>
      <c r="B15" s="307"/>
      <c r="C15" s="307"/>
      <c r="D15" s="200"/>
      <c r="E15" s="201"/>
      <c r="F15" s="202"/>
      <c r="G15" s="332"/>
      <c r="H15" s="326"/>
      <c r="I15" s="319"/>
      <c r="J15" s="275"/>
      <c r="K15" s="208"/>
      <c r="L15" s="6" t="str">
        <f t="shared" si="1"/>
        <v/>
      </c>
      <c r="M15" s="283"/>
      <c r="N15" s="272"/>
      <c r="O15" s="269"/>
      <c r="P15" s="280"/>
      <c r="Q15" s="280"/>
      <c r="R15" s="280"/>
      <c r="S15" s="370"/>
      <c r="T15" s="300"/>
      <c r="U15" s="365"/>
    </row>
    <row r="16" spans="1:26" x14ac:dyDescent="0.2">
      <c r="A16" s="317"/>
      <c r="B16" s="308"/>
      <c r="C16" s="308"/>
      <c r="D16" s="200"/>
      <c r="E16" s="207"/>
      <c r="F16" s="205"/>
      <c r="G16" s="334"/>
      <c r="H16" s="336"/>
      <c r="I16" s="320"/>
      <c r="J16" s="276"/>
      <c r="K16" s="209"/>
      <c r="L16" s="6" t="str">
        <f t="shared" si="1"/>
        <v/>
      </c>
      <c r="M16" s="283"/>
      <c r="N16" s="273"/>
      <c r="O16" s="270"/>
      <c r="P16" s="281"/>
      <c r="Q16" s="281"/>
      <c r="R16" s="281"/>
      <c r="S16" s="371"/>
      <c r="T16" s="301"/>
      <c r="U16" s="366"/>
    </row>
    <row r="17" spans="1:21" x14ac:dyDescent="0.2">
      <c r="A17" s="304">
        <v>5</v>
      </c>
      <c r="B17" s="306" t="s">
        <v>68</v>
      </c>
      <c r="C17" s="306"/>
      <c r="D17" s="200"/>
      <c r="E17" s="201"/>
      <c r="F17" s="202"/>
      <c r="G17" s="331"/>
      <c r="H17" s="325"/>
      <c r="I17" s="318" t="str">
        <f>IF(SUM(F17:F19)=0,"",SUM(F17:F19))</f>
        <v/>
      </c>
      <c r="J17" s="274"/>
      <c r="K17" s="209"/>
      <c r="L17" s="6" t="str">
        <f t="shared" si="1"/>
        <v/>
      </c>
      <c r="M17" s="283"/>
      <c r="N17" s="271" t="str">
        <f>IF(SUM(L17:L19)*30/1000=0,"",SUM(L17:L19)*30/1000)</f>
        <v/>
      </c>
      <c r="O17" s="268" t="str">
        <f>IF(N17="","",IF(N17&gt;45,Tarification!$D$50+Tarification!$F$4*N17,VLOOKUP(N17,Tarification!$B$5:$M$50,8)))</f>
        <v/>
      </c>
      <c r="P17" s="279"/>
      <c r="Q17" s="279"/>
      <c r="R17" s="279"/>
      <c r="S17" s="369" t="e">
        <f>-I17+(((Q17*12-(O17+P17)*12-I17/5)*0.7+I17/5)*(1+0.12)^(-1))+(((Q17*12-(O17+P17)*12-I17/5)*0.7+I17/5)*(1+0.12)^(-2))+(((Q17*12-(O17+P17)*12-I17/5)*0.7+I17/5)*(1+0.12)^(-3))+(((Q17*12-(O17+P17)*12-I17/5)*0.7+I17/5)*(1+0.12)^(-4))+(((Q17*12-(O17+P17)*12-I17/5)*0.7+I17/5)*(1+0.12)^(-5))</f>
        <v>#VALUE!</v>
      </c>
      <c r="T17" s="302" t="e">
        <f>IF(S17&gt;1,"Projet rentable","Projet non rentable")</f>
        <v>#VALUE!</v>
      </c>
      <c r="U17" s="363"/>
    </row>
    <row r="18" spans="1:21" x14ac:dyDescent="0.2">
      <c r="A18" s="305"/>
      <c r="B18" s="307"/>
      <c r="C18" s="307"/>
      <c r="D18" s="200"/>
      <c r="E18" s="204"/>
      <c r="F18" s="205"/>
      <c r="G18" s="332"/>
      <c r="H18" s="326"/>
      <c r="I18" s="319"/>
      <c r="J18" s="275"/>
      <c r="K18" s="209"/>
      <c r="L18" s="6" t="str">
        <f t="shared" si="1"/>
        <v/>
      </c>
      <c r="M18" s="283"/>
      <c r="N18" s="272"/>
      <c r="O18" s="269"/>
      <c r="P18" s="280"/>
      <c r="Q18" s="280"/>
      <c r="R18" s="280"/>
      <c r="S18" s="370"/>
      <c r="T18" s="303"/>
      <c r="U18" s="361"/>
    </row>
    <row r="19" spans="1:21" x14ac:dyDescent="0.2">
      <c r="A19" s="305"/>
      <c r="B19" s="308"/>
      <c r="C19" s="307"/>
      <c r="D19" s="200"/>
      <c r="E19" s="204"/>
      <c r="F19" s="205"/>
      <c r="G19" s="332"/>
      <c r="H19" s="326"/>
      <c r="I19" s="319"/>
      <c r="J19" s="275"/>
      <c r="K19" s="209"/>
      <c r="L19" s="6" t="str">
        <f t="shared" si="1"/>
        <v/>
      </c>
      <c r="M19" s="283"/>
      <c r="N19" s="272"/>
      <c r="O19" s="269"/>
      <c r="P19" s="280"/>
      <c r="Q19" s="280"/>
      <c r="R19" s="280"/>
      <c r="S19" s="370"/>
      <c r="T19" s="303"/>
      <c r="U19" s="361"/>
    </row>
    <row r="20" spans="1:21" x14ac:dyDescent="0.2">
      <c r="A20" s="312">
        <v>6</v>
      </c>
      <c r="B20" s="306" t="s">
        <v>69</v>
      </c>
      <c r="C20" s="306"/>
      <c r="D20" s="200"/>
      <c r="E20" s="207"/>
      <c r="F20" s="205"/>
      <c r="G20" s="331"/>
      <c r="H20" s="325"/>
      <c r="I20" s="318" t="str">
        <f>IF(SUM(F20:F22)=0,"",SUM(F20:F22))</f>
        <v/>
      </c>
      <c r="J20" s="274"/>
      <c r="K20" s="209"/>
      <c r="L20" s="6" t="str">
        <f t="shared" si="1"/>
        <v/>
      </c>
      <c r="M20" s="283"/>
      <c r="N20" s="271" t="str">
        <f>IF(SUM(L20:L22)*30/1000=0,"",SUM(L20:L22)*30/1000)</f>
        <v/>
      </c>
      <c r="O20" s="268" t="str">
        <f>IF(N20="","",IF(N20&gt;45,Tarification!$D$50+Tarification!$F$4*N20,VLOOKUP(N20,Tarification!$B$5:$M$50,8)))</f>
        <v/>
      </c>
      <c r="P20" s="279"/>
      <c r="Q20" s="279"/>
      <c r="R20" s="279"/>
      <c r="S20" s="369" t="e">
        <f>-I20+(((Q20*12-(O20+P20)*12-I20/5)*0.7+I20/5)*(1+0.12)^(-1))+(((Q20*12-(O20+P20)*12-I20/5)*0.7+I20/5)*(1+0.12)^(-2))+(((Q20*12-(O20+P20)*12-I20/5)*0.7+I20/5)*(1+0.12)^(-3))+(((Q20*12-(O20+P20)*12-I20/5)*0.7+I20/5)*(1+0.12)^(-4))+(((Q20*12-(O20+P20)*12-I20/5)*0.7+I20/5)*(1+0.12)^(-5))</f>
        <v>#VALUE!</v>
      </c>
      <c r="T20" s="302" t="e">
        <f>IF(S20&gt;1,"Projet rentable","Projet non rentable")</f>
        <v>#VALUE!</v>
      </c>
      <c r="U20" s="360"/>
    </row>
    <row r="21" spans="1:21" x14ac:dyDescent="0.2">
      <c r="A21" s="313"/>
      <c r="B21" s="307"/>
      <c r="C21" s="307"/>
      <c r="D21" s="200"/>
      <c r="E21" s="206"/>
      <c r="F21" s="202"/>
      <c r="G21" s="332"/>
      <c r="H21" s="326"/>
      <c r="I21" s="319"/>
      <c r="J21" s="275"/>
      <c r="K21" s="209"/>
      <c r="L21" s="6" t="str">
        <f t="shared" si="1"/>
        <v/>
      </c>
      <c r="M21" s="283"/>
      <c r="N21" s="272"/>
      <c r="O21" s="269"/>
      <c r="P21" s="280"/>
      <c r="Q21" s="280"/>
      <c r="R21" s="280"/>
      <c r="S21" s="370"/>
      <c r="T21" s="303"/>
      <c r="U21" s="361"/>
    </row>
    <row r="22" spans="1:21" ht="17" thickBot="1" x14ac:dyDescent="0.25">
      <c r="A22" s="322"/>
      <c r="B22" s="323"/>
      <c r="C22" s="323"/>
      <c r="D22" s="211"/>
      <c r="E22" s="212"/>
      <c r="F22" s="213"/>
      <c r="G22" s="333"/>
      <c r="H22" s="327"/>
      <c r="I22" s="335"/>
      <c r="J22" s="321"/>
      <c r="K22" s="214"/>
      <c r="L22" s="215" t="str">
        <f t="shared" si="1"/>
        <v/>
      </c>
      <c r="M22" s="377"/>
      <c r="N22" s="338"/>
      <c r="O22" s="378"/>
      <c r="P22" s="337"/>
      <c r="Q22" s="337"/>
      <c r="R22" s="337"/>
      <c r="S22" s="376"/>
      <c r="T22" s="375"/>
      <c r="U22" s="362"/>
    </row>
    <row r="23" spans="1:21" x14ac:dyDescent="0.2">
      <c r="K23" s="14"/>
      <c r="M23" s="1"/>
      <c r="Q23" s="35"/>
      <c r="R23" s="16"/>
      <c r="S23" s="1"/>
      <c r="T23" s="1"/>
    </row>
    <row r="24" spans="1:21" x14ac:dyDescent="0.2">
      <c r="C24" s="103"/>
      <c r="D24" s="1" t="s">
        <v>1</v>
      </c>
    </row>
    <row r="25" spans="1:21" x14ac:dyDescent="0.2">
      <c r="C25" s="102"/>
      <c r="D25" s="1" t="s">
        <v>88</v>
      </c>
    </row>
    <row r="26" spans="1:21" x14ac:dyDescent="0.2">
      <c r="C26" s="7"/>
    </row>
    <row r="29" spans="1:21" x14ac:dyDescent="0.2">
      <c r="B29" s="8"/>
      <c r="D29" s="17"/>
      <c r="E29" s="8"/>
      <c r="G29" s="8"/>
      <c r="H29" s="1"/>
      <c r="I29" s="14"/>
      <c r="J29" s="1"/>
      <c r="K29" s="1"/>
      <c r="M29" s="1"/>
      <c r="O29" s="35"/>
      <c r="P29" s="16"/>
      <c r="S29" s="1"/>
      <c r="T29" s="1"/>
    </row>
    <row r="30" spans="1:21" x14ac:dyDescent="0.2">
      <c r="B30" s="8"/>
      <c r="D30" s="17"/>
      <c r="E30" s="8"/>
      <c r="G30" s="8"/>
      <c r="H30" s="1"/>
      <c r="I30" s="14"/>
      <c r="J30" s="1"/>
      <c r="K30" s="1"/>
      <c r="M30" s="1"/>
      <c r="O30" s="35"/>
      <c r="P30" s="16"/>
      <c r="S30" s="1"/>
      <c r="T30" s="1"/>
    </row>
    <row r="31" spans="1:21" x14ac:dyDescent="0.2">
      <c r="B31" s="8"/>
      <c r="D31" s="17"/>
      <c r="E31" s="8"/>
      <c r="G31" s="8"/>
      <c r="H31" s="1"/>
      <c r="I31" s="14"/>
      <c r="J31" s="1"/>
      <c r="K31" s="1"/>
      <c r="M31" s="1"/>
      <c r="O31" s="35"/>
      <c r="P31" s="16"/>
      <c r="S31" s="1"/>
      <c r="T31" s="1"/>
    </row>
    <row r="32" spans="1:21" x14ac:dyDescent="0.2">
      <c r="B32" s="8"/>
      <c r="D32" s="17"/>
      <c r="E32" s="8"/>
      <c r="G32" s="8"/>
      <c r="H32" s="1"/>
      <c r="I32" s="14"/>
      <c r="J32" s="1"/>
      <c r="K32" s="1"/>
      <c r="M32" s="1"/>
      <c r="O32" s="35"/>
      <c r="P32" s="16"/>
      <c r="S32" s="1"/>
      <c r="T32" s="1"/>
    </row>
    <row r="33" spans="2:20" x14ac:dyDescent="0.2">
      <c r="B33" s="8"/>
      <c r="D33" s="17"/>
      <c r="E33" s="8"/>
      <c r="G33" s="8"/>
      <c r="H33" s="1"/>
      <c r="I33" s="14"/>
      <c r="J33" s="1"/>
      <c r="K33" s="1"/>
      <c r="M33" s="1"/>
      <c r="O33" s="35"/>
      <c r="P33" s="16"/>
      <c r="S33" s="1"/>
      <c r="T33" s="1"/>
    </row>
    <row r="34" spans="2:20" x14ac:dyDescent="0.2">
      <c r="B34" s="8"/>
      <c r="D34" s="17"/>
      <c r="E34" s="8"/>
      <c r="G34" s="8"/>
      <c r="H34" s="1"/>
      <c r="I34" s="14"/>
      <c r="J34" s="1"/>
      <c r="K34" s="1"/>
      <c r="M34" s="1"/>
      <c r="O34" s="35"/>
      <c r="P34" s="16"/>
      <c r="S34" s="1"/>
      <c r="T34" s="1"/>
    </row>
    <row r="35" spans="2:20" x14ac:dyDescent="0.2">
      <c r="B35" s="8"/>
      <c r="D35" s="17"/>
      <c r="E35" s="8"/>
      <c r="G35" s="8"/>
      <c r="H35" s="1"/>
      <c r="I35" s="14"/>
      <c r="J35" s="1"/>
      <c r="K35" s="1"/>
      <c r="M35" s="1"/>
      <c r="O35" s="35"/>
      <c r="P35" s="16"/>
      <c r="S35" s="1"/>
      <c r="T35" s="1"/>
    </row>
    <row r="36" spans="2:20" x14ac:dyDescent="0.2">
      <c r="B36" s="8"/>
      <c r="D36" s="17"/>
      <c r="E36" s="8"/>
      <c r="G36" s="8"/>
      <c r="H36" s="1"/>
      <c r="I36" s="14"/>
      <c r="J36" s="1"/>
      <c r="K36" s="1"/>
      <c r="M36" s="1"/>
      <c r="O36" s="35"/>
      <c r="P36" s="16"/>
      <c r="S36" s="1"/>
      <c r="T36" s="1"/>
    </row>
    <row r="37" spans="2:20" x14ac:dyDescent="0.2">
      <c r="B37" s="8"/>
      <c r="D37" s="17"/>
      <c r="E37" s="8"/>
      <c r="G37" s="8"/>
      <c r="H37" s="1"/>
      <c r="I37" s="14"/>
      <c r="J37" s="1"/>
      <c r="K37" s="1"/>
      <c r="M37" s="1"/>
      <c r="O37" s="35"/>
      <c r="P37" s="16"/>
      <c r="S37" s="1"/>
      <c r="T37" s="1"/>
    </row>
    <row r="38" spans="2:20" x14ac:dyDescent="0.2">
      <c r="B38" s="8"/>
      <c r="D38" s="17"/>
      <c r="E38" s="8"/>
      <c r="G38" s="8"/>
      <c r="H38" s="1"/>
      <c r="I38" s="14"/>
      <c r="J38" s="1"/>
      <c r="K38" s="1"/>
      <c r="M38" s="1"/>
      <c r="O38" s="35"/>
      <c r="P38" s="16"/>
      <c r="S38" s="1"/>
      <c r="T38" s="1"/>
    </row>
    <row r="39" spans="2:20" x14ac:dyDescent="0.2">
      <c r="B39" s="8"/>
      <c r="D39" s="17"/>
      <c r="E39" s="8"/>
      <c r="G39" s="8"/>
      <c r="H39" s="1"/>
      <c r="I39" s="14"/>
      <c r="J39" s="1"/>
      <c r="K39" s="1"/>
      <c r="M39" s="1"/>
      <c r="O39" s="35"/>
      <c r="P39" s="16"/>
      <c r="S39" s="1"/>
      <c r="T39" s="1"/>
    </row>
    <row r="40" spans="2:20" x14ac:dyDescent="0.2">
      <c r="B40" s="8"/>
      <c r="D40" s="17"/>
      <c r="E40" s="8"/>
      <c r="G40" s="8"/>
      <c r="H40" s="1"/>
      <c r="I40" s="14"/>
      <c r="J40" s="1"/>
      <c r="K40" s="1"/>
      <c r="M40" s="1"/>
      <c r="O40" s="35"/>
      <c r="P40" s="16"/>
      <c r="S40" s="1"/>
      <c r="T40" s="1"/>
    </row>
    <row r="41" spans="2:20" x14ac:dyDescent="0.2">
      <c r="B41" s="8"/>
      <c r="D41" s="17"/>
      <c r="E41" s="8"/>
      <c r="G41" s="8"/>
      <c r="H41" s="1"/>
      <c r="I41" s="14"/>
      <c r="J41" s="1"/>
      <c r="K41" s="1"/>
      <c r="M41" s="1"/>
      <c r="O41" s="35"/>
      <c r="P41" s="16"/>
      <c r="S41" s="1"/>
      <c r="T41" s="1"/>
    </row>
    <row r="42" spans="2:20" x14ac:dyDescent="0.2">
      <c r="B42" s="8"/>
      <c r="D42" s="17"/>
      <c r="E42" s="8"/>
      <c r="G42" s="8"/>
      <c r="H42" s="1"/>
      <c r="I42" s="14"/>
      <c r="J42" s="1"/>
      <c r="K42" s="1"/>
      <c r="M42" s="1"/>
      <c r="O42" s="35"/>
      <c r="P42" s="16"/>
      <c r="S42" s="1"/>
      <c r="T42" s="1"/>
    </row>
    <row r="43" spans="2:20" x14ac:dyDescent="0.2">
      <c r="B43" s="8"/>
      <c r="D43" s="17"/>
      <c r="E43" s="8"/>
      <c r="G43" s="8"/>
      <c r="H43" s="1"/>
      <c r="I43" s="14"/>
      <c r="J43" s="1"/>
      <c r="K43" s="1"/>
      <c r="M43" s="1"/>
      <c r="O43" s="35"/>
      <c r="P43" s="16"/>
      <c r="S43" s="1"/>
      <c r="T43" s="1"/>
    </row>
  </sheetData>
  <sheetProtection selectLockedCells="1"/>
  <mergeCells count="114">
    <mergeCell ref="L1:M2"/>
    <mergeCell ref="K1:K2"/>
    <mergeCell ref="N1:N2"/>
    <mergeCell ref="O4:O6"/>
    <mergeCell ref="O1:O2"/>
    <mergeCell ref="U1:U2"/>
    <mergeCell ref="U4:U6"/>
    <mergeCell ref="U20:U22"/>
    <mergeCell ref="U17:U19"/>
    <mergeCell ref="U14:U16"/>
    <mergeCell ref="U11:U13"/>
    <mergeCell ref="S7:S9"/>
    <mergeCell ref="T7:T9"/>
    <mergeCell ref="U7:U9"/>
    <mergeCell ref="S4:S6"/>
    <mergeCell ref="T1:T2"/>
    <mergeCell ref="T20:T22"/>
    <mergeCell ref="S20:S22"/>
    <mergeCell ref="S17:S19"/>
    <mergeCell ref="S14:S16"/>
    <mergeCell ref="S11:S13"/>
    <mergeCell ref="N11:N13"/>
    <mergeCell ref="M11:M22"/>
    <mergeCell ref="O20:O22"/>
    <mergeCell ref="F1:F2"/>
    <mergeCell ref="I1:I2"/>
    <mergeCell ref="J1:J2"/>
    <mergeCell ref="J11:J13"/>
    <mergeCell ref="I4:I6"/>
    <mergeCell ref="G4:G6"/>
    <mergeCell ref="G1:G2"/>
    <mergeCell ref="H1:H2"/>
    <mergeCell ref="H4:H6"/>
    <mergeCell ref="J4:J6"/>
    <mergeCell ref="H11:H13"/>
    <mergeCell ref="G7:G9"/>
    <mergeCell ref="H7:H9"/>
    <mergeCell ref="I7:I9"/>
    <mergeCell ref="P20:P22"/>
    <mergeCell ref="R20:R22"/>
    <mergeCell ref="Q20:Q22"/>
    <mergeCell ref="N20:N22"/>
    <mergeCell ref="R17:R19"/>
    <mergeCell ref="O14:O16"/>
    <mergeCell ref="O17:O19"/>
    <mergeCell ref="R11:R13"/>
    <mergeCell ref="O11:O13"/>
    <mergeCell ref="J20:J22"/>
    <mergeCell ref="A20:A22"/>
    <mergeCell ref="B20:B22"/>
    <mergeCell ref="C20:C22"/>
    <mergeCell ref="A11:A13"/>
    <mergeCell ref="B11:B13"/>
    <mergeCell ref="H20:H22"/>
    <mergeCell ref="C11:C13"/>
    <mergeCell ref="I11:I13"/>
    <mergeCell ref="I17:I19"/>
    <mergeCell ref="J14:J16"/>
    <mergeCell ref="J17:J19"/>
    <mergeCell ref="G20:G22"/>
    <mergeCell ref="G17:G19"/>
    <mergeCell ref="G14:G16"/>
    <mergeCell ref="G11:G13"/>
    <mergeCell ref="I20:I22"/>
    <mergeCell ref="H14:H16"/>
    <mergeCell ref="H17:H19"/>
    <mergeCell ref="T4:T6"/>
    <mergeCell ref="T11:T13"/>
    <mergeCell ref="R14:R16"/>
    <mergeCell ref="Q14:Q16"/>
    <mergeCell ref="Q17:Q19"/>
    <mergeCell ref="Q11:Q13"/>
    <mergeCell ref="P14:P16"/>
    <mergeCell ref="T14:T16"/>
    <mergeCell ref="P17:P19"/>
    <mergeCell ref="P11:P13"/>
    <mergeCell ref="T17:T19"/>
    <mergeCell ref="A10:U10"/>
    <mergeCell ref="A17:A19"/>
    <mergeCell ref="B17:B19"/>
    <mergeCell ref="C17:C19"/>
    <mergeCell ref="B4:B6"/>
    <mergeCell ref="C4:C6"/>
    <mergeCell ref="A7:A9"/>
    <mergeCell ref="B7:B9"/>
    <mergeCell ref="C7:C9"/>
    <mergeCell ref="A14:A16"/>
    <mergeCell ref="B14:B16"/>
    <mergeCell ref="C14:C16"/>
    <mergeCell ref="I14:I16"/>
    <mergeCell ref="A4:A6"/>
    <mergeCell ref="O7:O9"/>
    <mergeCell ref="N7:N9"/>
    <mergeCell ref="J7:J9"/>
    <mergeCell ref="N17:N19"/>
    <mergeCell ref="P1:P2"/>
    <mergeCell ref="P4:P6"/>
    <mergeCell ref="M4:M9"/>
    <mergeCell ref="S1:S2"/>
    <mergeCell ref="Q1:Q2"/>
    <mergeCell ref="R1:R2"/>
    <mergeCell ref="A1:A2"/>
    <mergeCell ref="B1:B2"/>
    <mergeCell ref="C1:C2"/>
    <mergeCell ref="D1:D2"/>
    <mergeCell ref="E1:E2"/>
    <mergeCell ref="A3:U3"/>
    <mergeCell ref="N14:N16"/>
    <mergeCell ref="Q4:Q6"/>
    <mergeCell ref="R4:R6"/>
    <mergeCell ref="P7:P9"/>
    <mergeCell ref="Q7:Q9"/>
    <mergeCell ref="R7:R9"/>
    <mergeCell ref="N4:N6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3"/>
  <sheetViews>
    <sheetView showGridLines="0" workbookViewId="0">
      <selection activeCell="C3" sqref="C3"/>
    </sheetView>
  </sheetViews>
  <sheetFormatPr baseColWidth="10" defaultRowHeight="16" x14ac:dyDescent="0.2"/>
  <cols>
    <col min="2" max="2" width="13.83203125" bestFit="1" customWidth="1"/>
  </cols>
  <sheetData>
    <row r="3" spans="2:3" x14ac:dyDescent="0.2">
      <c r="B3" t="s">
        <v>39</v>
      </c>
      <c r="C3" s="252"/>
    </row>
  </sheetData>
  <sheetProtection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51"/>
  <sheetViews>
    <sheetView showGridLines="0" zoomScale="111" zoomScaleNormal="111" zoomScalePageLayoutView="111" workbookViewId="0">
      <pane xSplit="4" topLeftCell="U1" activePane="topRight" state="frozen"/>
      <selection pane="topRight" activeCell="V18" sqref="V18"/>
    </sheetView>
  </sheetViews>
  <sheetFormatPr baseColWidth="10" defaultRowHeight="16" x14ac:dyDescent="0.2"/>
  <cols>
    <col min="1" max="1" width="24.5" style="18" customWidth="1"/>
    <col min="2" max="2" width="11.5" style="19" bestFit="1" customWidth="1"/>
    <col min="3" max="3" width="18.33203125" style="20" bestFit="1" customWidth="1"/>
    <col min="4" max="4" width="13.33203125" style="20" bestFit="1" customWidth="1"/>
    <col min="5" max="5" width="15.6640625" style="20" customWidth="1"/>
    <col min="6" max="6" width="16.6640625" style="20" customWidth="1"/>
    <col min="7" max="7" width="18.33203125" style="20" bestFit="1" customWidth="1"/>
    <col min="8" max="8" width="18.33203125" style="20" customWidth="1"/>
    <col min="9" max="9" width="24.33203125" style="5" customWidth="1"/>
    <col min="10" max="10" width="25.1640625" style="20" bestFit="1" customWidth="1"/>
    <col min="11" max="11" width="19.6640625" style="20" bestFit="1" customWidth="1"/>
    <col min="12" max="12" width="19.6640625" style="20" customWidth="1"/>
    <col min="13" max="13" width="27.5" style="18" customWidth="1"/>
    <col min="14" max="14" width="16.5" style="2" customWidth="1"/>
    <col min="15" max="15" width="18.83203125" style="18" bestFit="1" customWidth="1"/>
    <col min="16" max="16" width="21.5" style="18" bestFit="1" customWidth="1"/>
    <col min="17" max="17" width="30.5" style="18" bestFit="1" customWidth="1"/>
    <col min="18" max="18" width="30.5" style="26" bestFit="1" customWidth="1"/>
    <col min="19" max="19" width="18.1640625" style="18" bestFit="1" customWidth="1"/>
    <col min="20" max="20" width="13" style="22" bestFit="1" customWidth="1"/>
    <col min="21" max="21" width="11.5" style="18" bestFit="1" customWidth="1"/>
    <col min="22" max="22" width="13.83203125" style="18" customWidth="1"/>
    <col min="23" max="23" width="20.1640625" style="18" bestFit="1" customWidth="1"/>
    <col min="24" max="25" width="20.1640625" style="18" customWidth="1"/>
    <col min="26" max="26" width="23.33203125" style="18" bestFit="1" customWidth="1"/>
    <col min="27" max="27" width="20" style="18" customWidth="1"/>
    <col min="28" max="28" width="3.6640625" style="27" customWidth="1"/>
    <col min="29" max="29" width="16.5" style="18" bestFit="1" customWidth="1"/>
    <col min="30" max="30" width="19" style="18" bestFit="1" customWidth="1"/>
    <col min="31" max="31" width="5.6640625" style="18" customWidth="1"/>
    <col min="32" max="32" width="91.6640625" style="18" customWidth="1"/>
    <col min="33" max="33" width="19" style="18" customWidth="1"/>
    <col min="34" max="38" width="10.83203125" style="18" customWidth="1"/>
    <col min="39" max="39" width="25.5" style="18" hidden="1" customWidth="1"/>
    <col min="40" max="40" width="22.6640625" style="18" hidden="1" customWidth="1"/>
    <col min="41" max="41" width="16.83203125" style="18" hidden="1" customWidth="1"/>
    <col min="42" max="42" width="13.33203125" style="18" hidden="1" customWidth="1"/>
    <col min="43" max="43" width="20.1640625" style="18" hidden="1" customWidth="1"/>
    <col min="44" max="16384" width="10.83203125" style="18"/>
  </cols>
  <sheetData>
    <row r="1" spans="1:43" ht="17" thickBot="1" x14ac:dyDescent="0.25"/>
    <row r="2" spans="1:43" s="24" customFormat="1" ht="69" thickBot="1" x14ac:dyDescent="0.25">
      <c r="A2" s="89" t="s">
        <v>24</v>
      </c>
      <c r="B2" s="90" t="s">
        <v>32</v>
      </c>
      <c r="C2" s="384" t="s">
        <v>46</v>
      </c>
      <c r="D2" s="385"/>
      <c r="E2" s="91" t="s">
        <v>47</v>
      </c>
      <c r="F2" s="167" t="s">
        <v>33</v>
      </c>
      <c r="G2" s="382" t="s">
        <v>34</v>
      </c>
      <c r="H2" s="383"/>
      <c r="I2" s="92" t="s">
        <v>51</v>
      </c>
      <c r="J2" s="93" t="s">
        <v>40</v>
      </c>
      <c r="K2" s="94" t="s">
        <v>36</v>
      </c>
      <c r="L2" s="95" t="s">
        <v>55</v>
      </c>
      <c r="M2" s="95" t="s">
        <v>30</v>
      </c>
      <c r="N2" s="94" t="s">
        <v>38</v>
      </c>
      <c r="O2" s="96" t="s">
        <v>52</v>
      </c>
      <c r="P2" s="96" t="s">
        <v>56</v>
      </c>
      <c r="Q2" s="97" t="s">
        <v>50</v>
      </c>
      <c r="R2" s="98" t="s">
        <v>28</v>
      </c>
      <c r="S2" s="167" t="s">
        <v>83</v>
      </c>
      <c r="T2" s="386" t="s">
        <v>23</v>
      </c>
      <c r="U2" s="387"/>
      <c r="V2" s="387"/>
      <c r="W2" s="379" t="s">
        <v>27</v>
      </c>
      <c r="X2" s="380"/>
      <c r="Y2" s="381"/>
      <c r="Z2" s="98" t="s">
        <v>42</v>
      </c>
      <c r="AA2" s="99" t="s">
        <v>82</v>
      </c>
      <c r="AB2" s="84"/>
      <c r="AC2" s="114" t="s">
        <v>37</v>
      </c>
      <c r="AD2" s="115" t="s">
        <v>41</v>
      </c>
      <c r="AF2" s="161" t="s">
        <v>43</v>
      </c>
      <c r="AM2" s="36"/>
      <c r="AN2" s="34" t="s">
        <v>31</v>
      </c>
      <c r="AO2" s="37" t="s">
        <v>25</v>
      </c>
      <c r="AP2" s="37" t="s">
        <v>26</v>
      </c>
      <c r="AQ2" s="58" t="s">
        <v>56</v>
      </c>
    </row>
    <row r="3" spans="1:43" ht="19" x14ac:dyDescent="0.2">
      <c r="A3" s="85" t="str">
        <f>AM3</f>
        <v>Porteur de projet 1</v>
      </c>
      <c r="B3" s="216"/>
      <c r="C3" s="127" t="str">
        <f>VLOOKUP(A3,$AM$3:$AP$8,2,0)</f>
        <v/>
      </c>
      <c r="D3" s="116" t="e">
        <f>ROUND(C3/'Taux de change'!$C$3,-1)</f>
        <v>#VALUE!</v>
      </c>
      <c r="E3" s="128" t="e">
        <f>$B$11*D3</f>
        <v>#VALUE!</v>
      </c>
      <c r="F3" s="168">
        <f t="shared" ref="F3:F8" si="0">IF(B3="X",$B$10,0)</f>
        <v>0</v>
      </c>
      <c r="G3" s="171" t="e">
        <f>IF(IF('Part de cofinancement'!$E$19="X",'Dim. cofinancement'!D3,0)+IF('Part de cofinancement'!$E$23="X",'Dim. cofinancement'!E3,0)+IF('Part de cofinancement'!$E$20="X",'Dim. cofinancement'!O3,0)+IF('Part de cofinancement'!$E$21="X",'Dim. cofinancement'!Q3,0)+IF('Part de cofinancement'!$E$22="X",'Dim. cofinancement'!R3,0)&lt;'Part de cofinancement'!$B$3,'Part de cofinancement'!$C$3,IF(IF('Part de cofinancement'!$E$19="X",'Dim. cofinancement'!D3,0)+IF('Part de cofinancement'!$E$23="X",'Dim. cofinancement'!E3,0)+IF('Part de cofinancement'!$E$20="X",'Dim. cofinancement'!O3,0)+IF('Part de cofinancement'!$E$21="X",'Dim. cofinancement'!Q3,0)+IF('Part de cofinancement'!$E$22="X",'Dim. cofinancement'!R3,0)&lt;'Part de cofinancement'!$B$5,'Part de cofinancement'!$C$5,IF(IF('Part de cofinancement'!$E$19="X",'Dim. cofinancement'!D3,0)+IF('Part de cofinancement'!$E$23="X",'Dim. cofinancement'!E3,0)+IF('Part de cofinancement'!$E$20="X",'Dim. cofinancement'!O3,0)+IF('Part de cofinancement'!$E$21="X",'Dim. cofinancement'!Q3,0)+IF('Part de cofinancement'!$E$22="X",'Dim. cofinancement'!R3,0)&lt;'Part de cofinancement'!$B$7,'Part de cofinancement'!$C$7,IF(IF('Part de cofinancement'!$E$19="X",'Dim. cofinancement'!D3,0)+IF('Part de cofinancement'!$E$23="X",'Dim. cofinancement'!E3,0)+IF('Part de cofinancement'!$E$20="X",'Dim. cofinancement'!O3,0)+IF('Part de cofinancement'!$E$21="X",'Dim. cofinancement'!Q3,0)+IF('Part de cofinancement'!$E$22="X",'Dim. cofinancement'!R3,0)&lt;'Part de cofinancement'!$B$9,'Part de cofinancement'!$C$9,IF(IF('Part de cofinancement'!$E$19="X",'Dim. cofinancement'!D3,0)+IF('Part de cofinancement'!$E$23="X",'Dim. cofinancement'!E3,0)+IF('Part de cofinancement'!$E$20="X",'Dim. cofinancement'!O3,0)+IF('Part de cofinancement'!$E$21="X",'Dim. cofinancement'!Q3,0)+IF('Part de cofinancement'!$E$22="X",'Dim. cofinancement'!R3,0)&lt;'Part de cofinancement'!$B$11,'Part de cofinancement'!$C$11)))))</f>
        <v>#VALUE!</v>
      </c>
      <c r="H3" s="172" t="e">
        <f>ROUND(G3*(IF('Part de cofinancement'!$E$19="X",'Dim. cofinancement'!D3,0)+IF('Part de cofinancement'!$E$20="X",'Dim. cofinancement'!O3,0)+IF('Part de cofinancement'!$E$21="X",'Dim. cofinancement'!Q3,0)+IF('Part de cofinancement'!$E$22="X",'Dim. cofinancement'!R3,0)+IF('Part de cofinancement'!$E$23="X",'Dim. cofinancement'!E3,0))*'Taux de change'!$C$3*(1-F3),-4)</f>
        <v>#VALUE!</v>
      </c>
      <c r="I3" s="54" t="e">
        <f t="shared" ref="I3:I8" si="1">(D3+E3)*G3*(1-F3)</f>
        <v>#VALUE!</v>
      </c>
      <c r="J3" s="222"/>
      <c r="K3" s="225"/>
      <c r="L3" s="229"/>
      <c r="M3" s="230"/>
      <c r="N3" s="231"/>
      <c r="O3" s="49" t="e">
        <f>IF(J3="X",0,VLOOKUP(AC3,Tarification!$B$5:$H$50,6))</f>
        <v>#N/A</v>
      </c>
      <c r="P3" s="123">
        <f>VLOOKUP(A3,$AM$3:$AQ$8,5,0)</f>
        <v>0</v>
      </c>
      <c r="Q3" s="70">
        <f>'Devis raccordement'!C18</f>
        <v>0</v>
      </c>
      <c r="R3" s="120">
        <f>IF(M3="X",$D$10/'Taux de change'!$C$3,0)</f>
        <v>0</v>
      </c>
      <c r="S3" s="74" t="e">
        <f>D3+E3+O3+Q3+R3</f>
        <v>#VALUE!</v>
      </c>
      <c r="T3" s="127">
        <f>VLOOKUP(A3,$AM$3:$AP$8,4,0)</f>
        <v>0</v>
      </c>
      <c r="U3" s="116" t="e">
        <f>T3/'Taux de change'!$C$3</f>
        <v>#DIV/0!</v>
      </c>
      <c r="V3" s="117" t="e">
        <f t="shared" ref="V3:V8" si="2">U3/S3</f>
        <v>#DIV/0!</v>
      </c>
      <c r="W3" s="177" t="e">
        <f>(H3/'Taux de change'!$C$3)+IF('Part de cofinancement'!$F$19="X",'Dim. cofinancement'!C3,0)+IF('Part de cofinancement'!$F$20="X",'Dim. cofinancement'!O3,0)+IF('Part de cofinancement'!$F$21="X",'Dim. cofinancement'!Q3,0)+IF('Part de cofinancement'!$F$22="X",'Dim. cofinancement'!R3,0)+IF('Part de cofinancement'!$F$23="X",'Dim. cofinancement'!E3,0)</f>
        <v>#VALUE!</v>
      </c>
      <c r="X3" s="178" t="e">
        <f>W3*'Taux de change'!$C$3</f>
        <v>#VALUE!</v>
      </c>
      <c r="Y3" s="179" t="e">
        <f>ROUND(X3,-4)</f>
        <v>#VALUE!</v>
      </c>
      <c r="Z3" s="73" t="e">
        <f>T3-Y3</f>
        <v>#VALUE!</v>
      </c>
      <c r="AA3" s="74" t="e">
        <f>S3-Y3/'Taux de change'!$C$3</f>
        <v>#VALUE!</v>
      </c>
      <c r="AB3" s="75"/>
      <c r="AC3" s="112" t="str">
        <f>VLOOKUP(C3,$AN$3:$AO$8,2,0)</f>
        <v/>
      </c>
      <c r="AD3" s="110" t="e">
        <f>IF(AC3&gt;45,Tarification!$D$50+Tarification!$F$4*AC3,VLOOKUP(AC3,Tarification!$B$5:$M$50,8))</f>
        <v>#VALUE!</v>
      </c>
      <c r="AF3" s="238"/>
      <c r="AI3" s="22"/>
      <c r="AM3" s="83" t="str">
        <f>'Données brutes'!B4</f>
        <v>Porteur de projet 1</v>
      </c>
      <c r="AN3" s="82" t="str">
        <f>'Données brutes'!$I4</f>
        <v/>
      </c>
      <c r="AO3" s="82" t="str">
        <f>'Données brutes'!$N4</f>
        <v/>
      </c>
      <c r="AP3" s="82">
        <f>'Données brutes'!J$4</f>
        <v>0</v>
      </c>
      <c r="AQ3" s="82">
        <f>'Données brutes'!H4</f>
        <v>0</v>
      </c>
    </row>
    <row r="4" spans="1:43" ht="19" x14ac:dyDescent="0.2">
      <c r="A4" s="85" t="str">
        <f t="shared" ref="A4:A8" si="3">AM4</f>
        <v>Porteur de projet 2</v>
      </c>
      <c r="B4" s="217"/>
      <c r="C4" s="129" t="str">
        <f t="shared" ref="C4:C8" si="4">VLOOKUP(A4,$AM$3:$AP$8,2,0)</f>
        <v/>
      </c>
      <c r="D4" s="71" t="e">
        <f>ROUND(C4/'Taux de change'!$C$3,-1)</f>
        <v>#VALUE!</v>
      </c>
      <c r="E4" s="130" t="e">
        <f t="shared" ref="E4:E8" si="5">$B$11*D4</f>
        <v>#VALUE!</v>
      </c>
      <c r="F4" s="169">
        <f t="shared" si="0"/>
        <v>0</v>
      </c>
      <c r="G4" s="173" t="e">
        <f>IF(IF('Part de cofinancement'!$E$19="X",'Dim. cofinancement'!D4,0)+IF('Part de cofinancement'!$E$23="X",'Dim. cofinancement'!E4,0)+IF('Part de cofinancement'!$E$20="X",'Dim. cofinancement'!O4,0)+IF('Part de cofinancement'!$E$21="X",'Dim. cofinancement'!Q4,0)+IF('Part de cofinancement'!$E$22="X",'Dim. cofinancement'!R4,0)&lt;'Part de cofinancement'!$B$3,'Part de cofinancement'!$C$3,IF(IF('Part de cofinancement'!$E$19="X",'Dim. cofinancement'!D4,0)+IF('Part de cofinancement'!$E$23="X",'Dim. cofinancement'!E4,0)+IF('Part de cofinancement'!$E$20="X",'Dim. cofinancement'!O4,0)+IF('Part de cofinancement'!$E$21="X",'Dim. cofinancement'!Q4,0)+IF('Part de cofinancement'!$E$22="X",'Dim. cofinancement'!R4,0)&lt;'Part de cofinancement'!$B$5,'Part de cofinancement'!$C$5,IF(IF('Part de cofinancement'!$E$19="X",'Dim. cofinancement'!D4,0)+IF('Part de cofinancement'!$E$23="X",'Dim. cofinancement'!E4,0)+IF('Part de cofinancement'!$E$20="X",'Dim. cofinancement'!O4,0)+IF('Part de cofinancement'!$E$21="X",'Dim. cofinancement'!Q4,0)+IF('Part de cofinancement'!$E$22="X",'Dim. cofinancement'!R4,0)&lt;'Part de cofinancement'!$B$7,'Part de cofinancement'!$C$7,IF(IF('Part de cofinancement'!$E$19="X",'Dim. cofinancement'!D4,0)+IF('Part de cofinancement'!$E$23="X",'Dim. cofinancement'!E4,0)+IF('Part de cofinancement'!$E$20="X",'Dim. cofinancement'!O4,0)+IF('Part de cofinancement'!$E$21="X",'Dim. cofinancement'!Q4,0)+IF('Part de cofinancement'!$E$22="X",'Dim. cofinancement'!R4,0)&lt;'Part de cofinancement'!$B$9,'Part de cofinancement'!$C$9,IF(IF('Part de cofinancement'!$E$19="X",'Dim. cofinancement'!D4,0)+IF('Part de cofinancement'!$E$23="X",'Dim. cofinancement'!E4,0)+IF('Part de cofinancement'!$E$20="X",'Dim. cofinancement'!O4,0)+IF('Part de cofinancement'!$E$21="X",'Dim. cofinancement'!Q4,0)+IF('Part de cofinancement'!$E$22="X",'Dim. cofinancement'!R4,0)&lt;'Part de cofinancement'!$B$11,'Part de cofinancement'!$C$11)))))</f>
        <v>#VALUE!</v>
      </c>
      <c r="H4" s="174" t="e">
        <f>ROUND(G4*(IF('Part de cofinancement'!$E$19="X",'Dim. cofinancement'!D4,0)+IF('Part de cofinancement'!$E$20="X",'Dim. cofinancement'!O4,0)+IF('Part de cofinancement'!$E$21="X",'Dim. cofinancement'!Q4,0)+IF('Part de cofinancement'!$E$22="X",'Dim. cofinancement'!R4,0)+IF('Part de cofinancement'!$E$23="X",'Dim. cofinancement'!E4,0))*'Taux de change'!$C$3*(1-F4),-4)</f>
        <v>#VALUE!</v>
      </c>
      <c r="I4" s="55" t="e">
        <f t="shared" si="1"/>
        <v>#VALUE!</v>
      </c>
      <c r="J4" s="223"/>
      <c r="K4" s="226"/>
      <c r="L4" s="232"/>
      <c r="M4" s="233"/>
      <c r="N4" s="234"/>
      <c r="O4" s="50" t="e">
        <f>IF(J4="X",0,VLOOKUP(AC4,Tarification!$B$5:$H$50,6))</f>
        <v>#N/A</v>
      </c>
      <c r="P4" s="124">
        <f t="shared" ref="P4:P8" si="6">VLOOKUP(A4,$AM$3:$AQ$8,5,0)</f>
        <v>0</v>
      </c>
      <c r="Q4" s="71">
        <f>'Devis raccordement'!F18</f>
        <v>0</v>
      </c>
      <c r="R4" s="121">
        <f>IF(M4="X",$D$10/'Taux de change'!$C$3,0)</f>
        <v>0</v>
      </c>
      <c r="S4" s="77" t="e">
        <f t="shared" ref="S4:S8" si="7">D4+E4+O4+Q4+R4</f>
        <v>#VALUE!</v>
      </c>
      <c r="T4" s="129">
        <f t="shared" ref="T4:T8" si="8">VLOOKUP(A4,$AM$3:$AP$8,4,0)</f>
        <v>0</v>
      </c>
      <c r="U4" s="71" t="e">
        <f>T4/'Taux de change'!$C$3</f>
        <v>#DIV/0!</v>
      </c>
      <c r="V4" s="118" t="e">
        <f t="shared" si="2"/>
        <v>#DIV/0!</v>
      </c>
      <c r="W4" s="108" t="e">
        <f>(H4/'Taux de change'!$C$3)+IF('Part de cofinancement'!$F$19="X",'Dim. cofinancement'!C4,0)+IF('Part de cofinancement'!$F$20="X",'Dim. cofinancement'!O4,0)+IF('Part de cofinancement'!$F$21="X",'Dim. cofinancement'!Q4,0)+IF('Part de cofinancement'!$F$22="X",'Dim. cofinancement'!R4,0)+IF('Part de cofinancement'!$F$23="X",'Dim. cofinancement'!E4,0)</f>
        <v>#VALUE!</v>
      </c>
      <c r="X4" s="126" t="e">
        <f>W4*'Taux de change'!$C$3</f>
        <v>#VALUE!</v>
      </c>
      <c r="Y4" s="155" t="e">
        <f t="shared" ref="Y4:Y8" si="9">ROUND(X4,-4)</f>
        <v>#VALUE!</v>
      </c>
      <c r="Z4" s="76" t="e">
        <f t="shared" ref="Z4:Z8" si="10">T4-Y4</f>
        <v>#VALUE!</v>
      </c>
      <c r="AA4" s="77" t="e">
        <f>S4-Y4/'Taux de change'!$C$3</f>
        <v>#VALUE!</v>
      </c>
      <c r="AB4" s="75"/>
      <c r="AC4" s="112" t="str">
        <f t="shared" ref="AC4:AC8" si="11">VLOOKUP(C4,$AN$3:$AO$8,2,0)</f>
        <v/>
      </c>
      <c r="AD4" s="110" t="e">
        <f>IF(AC4&gt;45,Tarification!$D$50+Tarification!$F$4*AC4,VLOOKUP(AC4,Tarification!$B$5:$M$50,8))</f>
        <v>#VALUE!</v>
      </c>
      <c r="AF4" s="238"/>
      <c r="AI4" s="22"/>
      <c r="AM4" s="81" t="str">
        <f>'Données brutes'!B7</f>
        <v>Porteur de projet 2</v>
      </c>
      <c r="AN4" s="82" t="str">
        <f>'Données brutes'!I$7</f>
        <v/>
      </c>
      <c r="AO4" s="82" t="str">
        <f>'Données brutes'!N$7</f>
        <v/>
      </c>
      <c r="AP4" s="82">
        <f>'Données brutes'!J$7</f>
        <v>0</v>
      </c>
      <c r="AQ4" s="82">
        <f>'Données brutes'!H$7</f>
        <v>0</v>
      </c>
    </row>
    <row r="5" spans="1:43" ht="19" x14ac:dyDescent="0.2">
      <c r="A5" s="85" t="str">
        <f t="shared" si="3"/>
        <v>Porteur de projet 3</v>
      </c>
      <c r="B5" s="217"/>
      <c r="C5" s="129" t="str">
        <f t="shared" si="4"/>
        <v/>
      </c>
      <c r="D5" s="71" t="e">
        <f>ROUND(C5/'Taux de change'!$C$3,-1)</f>
        <v>#VALUE!</v>
      </c>
      <c r="E5" s="130" t="e">
        <f t="shared" si="5"/>
        <v>#VALUE!</v>
      </c>
      <c r="F5" s="169">
        <f t="shared" si="0"/>
        <v>0</v>
      </c>
      <c r="G5" s="173" t="e">
        <f>IF(IF('Part de cofinancement'!$E$19="X",'Dim. cofinancement'!D5,0)+IF('Part de cofinancement'!$E$23="X",'Dim. cofinancement'!E5,0)+IF('Part de cofinancement'!$E$20="X",'Dim. cofinancement'!O5,0)+IF('Part de cofinancement'!$E$21="X",'Dim. cofinancement'!Q5,0)+IF('Part de cofinancement'!$E$22="X",'Dim. cofinancement'!R5,0)&lt;'Part de cofinancement'!$B$3,'Part de cofinancement'!$C$3,IF(IF('Part de cofinancement'!$E$19="X",'Dim. cofinancement'!D5,0)+IF('Part de cofinancement'!$E$23="X",'Dim. cofinancement'!E5,0)+IF('Part de cofinancement'!$E$20="X",'Dim. cofinancement'!O5,0)+IF('Part de cofinancement'!$E$21="X",'Dim. cofinancement'!Q5,0)+IF('Part de cofinancement'!$E$22="X",'Dim. cofinancement'!R5,0)&lt;'Part de cofinancement'!$B$5,'Part de cofinancement'!$C$5,IF(IF('Part de cofinancement'!$E$19="X",'Dim. cofinancement'!D5,0)+IF('Part de cofinancement'!$E$23="X",'Dim. cofinancement'!E5,0)+IF('Part de cofinancement'!$E$20="X",'Dim. cofinancement'!O5,0)+IF('Part de cofinancement'!$E$21="X",'Dim. cofinancement'!Q5,0)+IF('Part de cofinancement'!$E$22="X",'Dim. cofinancement'!R5,0)&lt;'Part de cofinancement'!$B$7,'Part de cofinancement'!$C$7,IF(IF('Part de cofinancement'!$E$19="X",'Dim. cofinancement'!D5,0)+IF('Part de cofinancement'!$E$23="X",'Dim. cofinancement'!E5,0)+IF('Part de cofinancement'!$E$20="X",'Dim. cofinancement'!O5,0)+IF('Part de cofinancement'!$E$21="X",'Dim. cofinancement'!Q5,0)+IF('Part de cofinancement'!$E$22="X",'Dim. cofinancement'!R5,0)&lt;'Part de cofinancement'!$B$9,'Part de cofinancement'!$C$9,IF(IF('Part de cofinancement'!$E$19="X",'Dim. cofinancement'!D5,0)+IF('Part de cofinancement'!$E$23="X",'Dim. cofinancement'!E5,0)+IF('Part de cofinancement'!$E$20="X",'Dim. cofinancement'!O5,0)+IF('Part de cofinancement'!$E$21="X",'Dim. cofinancement'!Q5,0)+IF('Part de cofinancement'!$E$22="X",'Dim. cofinancement'!R5,0)&lt;'Part de cofinancement'!$B$11,'Part de cofinancement'!$C$11)))))</f>
        <v>#VALUE!</v>
      </c>
      <c r="H5" s="174" t="e">
        <f>ROUND(G5*(IF('Part de cofinancement'!$E$19="X",'Dim. cofinancement'!D5,0)+IF('Part de cofinancement'!$E$20="X",'Dim. cofinancement'!O5,0)+IF('Part de cofinancement'!$E$21="X",'Dim. cofinancement'!Q5,0)+IF('Part de cofinancement'!$E$22="X",'Dim. cofinancement'!R5,0)+IF('Part de cofinancement'!$E$23="X",'Dim. cofinancement'!E5,0))*'Taux de change'!$C$3*(1-F5),-4)</f>
        <v>#VALUE!</v>
      </c>
      <c r="I5" s="55" t="e">
        <f t="shared" si="1"/>
        <v>#VALUE!</v>
      </c>
      <c r="J5" s="223"/>
      <c r="K5" s="227"/>
      <c r="L5" s="232"/>
      <c r="M5" s="233"/>
      <c r="N5" s="234"/>
      <c r="O5" s="50" t="e">
        <f>IF(J5="X",0,VLOOKUP(AC5,Tarification!$B$5:$H$50,6))</f>
        <v>#N/A</v>
      </c>
      <c r="P5" s="124">
        <f t="shared" si="6"/>
        <v>0</v>
      </c>
      <c r="Q5" s="71">
        <f>'Devis raccordement'!C43</f>
        <v>0</v>
      </c>
      <c r="R5" s="121">
        <f>IF(M5="X",$D$10/'Taux de change'!$C$3,0)</f>
        <v>0</v>
      </c>
      <c r="S5" s="77" t="e">
        <f t="shared" si="7"/>
        <v>#VALUE!</v>
      </c>
      <c r="T5" s="129">
        <f t="shared" si="8"/>
        <v>0</v>
      </c>
      <c r="U5" s="71" t="e">
        <f>T5/'Taux de change'!$C$3</f>
        <v>#DIV/0!</v>
      </c>
      <c r="V5" s="118" t="e">
        <f t="shared" si="2"/>
        <v>#DIV/0!</v>
      </c>
      <c r="W5" s="108" t="e">
        <f>(H5/'Taux de change'!$C$3)+IF('Part de cofinancement'!$F$19="X",'Dim. cofinancement'!C5,0)+IF('Part de cofinancement'!$F$20="X",'Dim. cofinancement'!O5,0)+IF('Part de cofinancement'!$F$21="X",'Dim. cofinancement'!Q5,0)+IF('Part de cofinancement'!$F$22="X",'Dim. cofinancement'!R5,0)+IF('Part de cofinancement'!$F$23="X",'Dim. cofinancement'!E5,0)</f>
        <v>#VALUE!</v>
      </c>
      <c r="X5" s="126" t="e">
        <f>W5*'Taux de change'!$C$3</f>
        <v>#VALUE!</v>
      </c>
      <c r="Y5" s="155" t="e">
        <f t="shared" si="9"/>
        <v>#VALUE!</v>
      </c>
      <c r="Z5" s="76" t="e">
        <f t="shared" si="10"/>
        <v>#VALUE!</v>
      </c>
      <c r="AA5" s="77" t="e">
        <f>S5-Y5/'Taux de change'!$C$3</f>
        <v>#VALUE!</v>
      </c>
      <c r="AB5" s="75"/>
      <c r="AC5" s="112" t="str">
        <f t="shared" si="11"/>
        <v/>
      </c>
      <c r="AD5" s="110" t="e">
        <f>IF(AC5&gt;45,Tarification!$D$50+Tarification!$F$4*AC5,VLOOKUP(AC5,Tarification!$B$5:$M$50,8))</f>
        <v>#VALUE!</v>
      </c>
      <c r="AF5" s="239"/>
      <c r="AI5" s="22"/>
      <c r="AM5" s="81" t="str">
        <f>'Données brutes'!B11</f>
        <v>Porteur de projet 3</v>
      </c>
      <c r="AN5" s="82" t="str">
        <f>'Données brutes'!I$11</f>
        <v/>
      </c>
      <c r="AO5" s="82" t="str">
        <f>'Données brutes'!N$11</f>
        <v/>
      </c>
      <c r="AP5" s="82">
        <f>'Données brutes'!J$11</f>
        <v>0</v>
      </c>
      <c r="AQ5" s="82">
        <f>'Données brutes'!H$11</f>
        <v>0</v>
      </c>
    </row>
    <row r="6" spans="1:43" ht="19" x14ac:dyDescent="0.2">
      <c r="A6" s="85" t="str">
        <f t="shared" si="3"/>
        <v>Porteur de projet 4</v>
      </c>
      <c r="B6" s="218"/>
      <c r="C6" s="129" t="str">
        <f t="shared" si="4"/>
        <v/>
      </c>
      <c r="D6" s="71" t="e">
        <f>ROUND(C6/'Taux de change'!$C$3,-1)</f>
        <v>#VALUE!</v>
      </c>
      <c r="E6" s="130" t="e">
        <f t="shared" si="5"/>
        <v>#VALUE!</v>
      </c>
      <c r="F6" s="169">
        <f t="shared" si="0"/>
        <v>0</v>
      </c>
      <c r="G6" s="173" t="e">
        <f>IF(IF('Part de cofinancement'!$E$19="X",'Dim. cofinancement'!D6,0)+IF('Part de cofinancement'!$E$23="X",'Dim. cofinancement'!E6,0)+IF('Part de cofinancement'!$E$20="X",'Dim. cofinancement'!O6,0)+IF('Part de cofinancement'!$E$21="X",'Dim. cofinancement'!Q6,0)+IF('Part de cofinancement'!$E$22="X",'Dim. cofinancement'!R6,0)&lt;'Part de cofinancement'!$B$3,'Part de cofinancement'!$C$3,IF(IF('Part de cofinancement'!$E$19="X",'Dim. cofinancement'!D6,0)+IF('Part de cofinancement'!$E$23="X",'Dim. cofinancement'!E6,0)+IF('Part de cofinancement'!$E$20="X",'Dim. cofinancement'!O6,0)+IF('Part de cofinancement'!$E$21="X",'Dim. cofinancement'!Q6,0)+IF('Part de cofinancement'!$E$22="X",'Dim. cofinancement'!R6,0)&lt;'Part de cofinancement'!$B$5,'Part de cofinancement'!$C$5,IF(IF('Part de cofinancement'!$E$19="X",'Dim. cofinancement'!D6,0)+IF('Part de cofinancement'!$E$23="X",'Dim. cofinancement'!E6,0)+IF('Part de cofinancement'!$E$20="X",'Dim. cofinancement'!O6,0)+IF('Part de cofinancement'!$E$21="X",'Dim. cofinancement'!Q6,0)+IF('Part de cofinancement'!$E$22="X",'Dim. cofinancement'!R6,0)&lt;'Part de cofinancement'!$B$7,'Part de cofinancement'!$C$7,IF(IF('Part de cofinancement'!$E$19="X",'Dim. cofinancement'!D6,0)+IF('Part de cofinancement'!$E$23="X",'Dim. cofinancement'!E6,0)+IF('Part de cofinancement'!$E$20="X",'Dim. cofinancement'!O6,0)+IF('Part de cofinancement'!$E$21="X",'Dim. cofinancement'!Q6,0)+IF('Part de cofinancement'!$E$22="X",'Dim. cofinancement'!R6,0)&lt;'Part de cofinancement'!$B$9,'Part de cofinancement'!$C$9,IF(IF('Part de cofinancement'!$E$19="X",'Dim. cofinancement'!D6,0)+IF('Part de cofinancement'!$E$23="X",'Dim. cofinancement'!E6,0)+IF('Part de cofinancement'!$E$20="X",'Dim. cofinancement'!O6,0)+IF('Part de cofinancement'!$E$21="X",'Dim. cofinancement'!Q6,0)+IF('Part de cofinancement'!$E$22="X",'Dim. cofinancement'!R6,0)&lt;'Part de cofinancement'!$B$11,'Part de cofinancement'!$C$11)))))</f>
        <v>#VALUE!</v>
      </c>
      <c r="H6" s="174" t="e">
        <f>ROUND(G6*(IF('Part de cofinancement'!$E$19="X",'Dim. cofinancement'!D6,0)+IF('Part de cofinancement'!$E$20="X",'Dim. cofinancement'!O6,0)+IF('Part de cofinancement'!$E$21="X",'Dim. cofinancement'!Q6,0)+IF('Part de cofinancement'!$E$22="X",'Dim. cofinancement'!R6,0)+IF('Part de cofinancement'!$E$23="X",'Dim. cofinancement'!E6,0))*'Taux de change'!$C$3*(1-F6),-4)</f>
        <v>#VALUE!</v>
      </c>
      <c r="I6" s="55" t="e">
        <f t="shared" si="1"/>
        <v>#VALUE!</v>
      </c>
      <c r="J6" s="223"/>
      <c r="K6" s="227"/>
      <c r="L6" s="232"/>
      <c r="M6" s="233"/>
      <c r="N6" s="234"/>
      <c r="O6" s="50" t="e">
        <f>IF(J6="X",0,VLOOKUP(AC6,Tarification!$B$5:$H$50,6))</f>
        <v>#N/A</v>
      </c>
      <c r="P6" s="124">
        <f t="shared" si="6"/>
        <v>0</v>
      </c>
      <c r="Q6" s="71">
        <f>'Devis raccordement'!F43</f>
        <v>0</v>
      </c>
      <c r="R6" s="121">
        <f>IF(M6="X",$D$10/'Taux de change'!$C$3,0)</f>
        <v>0</v>
      </c>
      <c r="S6" s="77" t="e">
        <f t="shared" si="7"/>
        <v>#VALUE!</v>
      </c>
      <c r="T6" s="129">
        <f t="shared" si="8"/>
        <v>0</v>
      </c>
      <c r="U6" s="71" t="e">
        <f>T6/'Taux de change'!$C$3</f>
        <v>#DIV/0!</v>
      </c>
      <c r="V6" s="118" t="e">
        <f t="shared" si="2"/>
        <v>#DIV/0!</v>
      </c>
      <c r="W6" s="108" t="e">
        <f>(H6/'Taux de change'!$C$3)+IF('Part de cofinancement'!$F$19="X",'Dim. cofinancement'!C6,0)+IF('Part de cofinancement'!$F$20="X",'Dim. cofinancement'!O6,0)+IF('Part de cofinancement'!$F$21="X",'Dim. cofinancement'!Q6,0)+IF('Part de cofinancement'!$F$22="X",'Dim. cofinancement'!R6,0)+IF('Part de cofinancement'!$F$23="X",'Dim. cofinancement'!E6,0)</f>
        <v>#VALUE!</v>
      </c>
      <c r="X6" s="126" t="e">
        <f>W6*'Taux de change'!$C$3</f>
        <v>#VALUE!</v>
      </c>
      <c r="Y6" s="155" t="e">
        <f t="shared" si="9"/>
        <v>#VALUE!</v>
      </c>
      <c r="Z6" s="76" t="e">
        <f t="shared" si="10"/>
        <v>#VALUE!</v>
      </c>
      <c r="AA6" s="77" t="e">
        <f>S6-Y6/'Taux de change'!$C$3</f>
        <v>#VALUE!</v>
      </c>
      <c r="AB6" s="75"/>
      <c r="AC6" s="112" t="str">
        <f t="shared" si="11"/>
        <v/>
      </c>
      <c r="AD6" s="110" t="e">
        <f>IF(AC6&gt;45,Tarification!$D$50+Tarification!$F$4*AC6,VLOOKUP(AC6,Tarification!$B$5:$M$50,8))</f>
        <v>#VALUE!</v>
      </c>
      <c r="AF6" s="239"/>
      <c r="AI6" s="22"/>
      <c r="AM6" s="81" t="str">
        <f>'Données brutes'!B14</f>
        <v>Porteur de projet 4</v>
      </c>
      <c r="AN6" s="82" t="str">
        <f>'Données brutes'!I$14</f>
        <v/>
      </c>
      <c r="AO6" s="82" t="str">
        <f>'Données brutes'!N$14</f>
        <v/>
      </c>
      <c r="AP6" s="82">
        <f>'Données brutes'!J$14</f>
        <v>0</v>
      </c>
      <c r="AQ6" s="82">
        <f>'Données brutes'!H$14</f>
        <v>0</v>
      </c>
    </row>
    <row r="7" spans="1:43" ht="19" x14ac:dyDescent="0.2">
      <c r="A7" s="85" t="str">
        <f t="shared" si="3"/>
        <v>Porteur de projet 5</v>
      </c>
      <c r="B7" s="217"/>
      <c r="C7" s="129" t="str">
        <f t="shared" si="4"/>
        <v/>
      </c>
      <c r="D7" s="71" t="e">
        <f>ROUND(C7/'Taux de change'!$C$3,-1)</f>
        <v>#VALUE!</v>
      </c>
      <c r="E7" s="130" t="e">
        <f t="shared" si="5"/>
        <v>#VALUE!</v>
      </c>
      <c r="F7" s="169">
        <f t="shared" si="0"/>
        <v>0</v>
      </c>
      <c r="G7" s="173" t="e">
        <f>IF(IF('Part de cofinancement'!$E$19="X",'Dim. cofinancement'!D7,0)+IF('Part de cofinancement'!$E$23="X",'Dim. cofinancement'!E7,0)+IF('Part de cofinancement'!$E$20="X",'Dim. cofinancement'!O7,0)+IF('Part de cofinancement'!$E$21="X",'Dim. cofinancement'!Q7,0)+IF('Part de cofinancement'!$E$22="X",'Dim. cofinancement'!R7,0)&lt;'Part de cofinancement'!$B$3,'Part de cofinancement'!$C$3,IF(IF('Part de cofinancement'!$E$19="X",'Dim. cofinancement'!D7,0)+IF('Part de cofinancement'!$E$23="X",'Dim. cofinancement'!E7,0)+IF('Part de cofinancement'!$E$20="X",'Dim. cofinancement'!O7,0)+IF('Part de cofinancement'!$E$21="X",'Dim. cofinancement'!Q7,0)+IF('Part de cofinancement'!$E$22="X",'Dim. cofinancement'!R7,0)&lt;'Part de cofinancement'!$B$5,'Part de cofinancement'!$C$5,IF(IF('Part de cofinancement'!$E$19="X",'Dim. cofinancement'!D7,0)+IF('Part de cofinancement'!$E$23="X",'Dim. cofinancement'!E7,0)+IF('Part de cofinancement'!$E$20="X",'Dim. cofinancement'!O7,0)+IF('Part de cofinancement'!$E$21="X",'Dim. cofinancement'!Q7,0)+IF('Part de cofinancement'!$E$22="X",'Dim. cofinancement'!R7,0)&lt;'Part de cofinancement'!$B$7,'Part de cofinancement'!$C$7,IF(IF('Part de cofinancement'!$E$19="X",'Dim. cofinancement'!D7,0)+IF('Part de cofinancement'!$E$23="X",'Dim. cofinancement'!E7,0)+IF('Part de cofinancement'!$E$20="X",'Dim. cofinancement'!O7,0)+IF('Part de cofinancement'!$E$21="X",'Dim. cofinancement'!Q7,0)+IF('Part de cofinancement'!$E$22="X",'Dim. cofinancement'!R7,0)&lt;'Part de cofinancement'!$B$9,'Part de cofinancement'!$C$9,IF(IF('Part de cofinancement'!$E$19="X",'Dim. cofinancement'!D7,0)+IF('Part de cofinancement'!$E$23="X",'Dim. cofinancement'!E7,0)+IF('Part de cofinancement'!$E$20="X",'Dim. cofinancement'!O7,0)+IF('Part de cofinancement'!$E$21="X",'Dim. cofinancement'!Q7,0)+IF('Part de cofinancement'!$E$22="X",'Dim. cofinancement'!R7,0)&lt;'Part de cofinancement'!$B$11,'Part de cofinancement'!$C$11)))))</f>
        <v>#VALUE!</v>
      </c>
      <c r="H7" s="174" t="e">
        <f>ROUND(G7*(IF('Part de cofinancement'!$E$19="X",'Dim. cofinancement'!D7,0)+IF('Part de cofinancement'!$E$20="X",'Dim. cofinancement'!O7,0)+IF('Part de cofinancement'!$E$21="X",'Dim. cofinancement'!Q7,0)+IF('Part de cofinancement'!$E$22="X",'Dim. cofinancement'!R7,0)+IF('Part de cofinancement'!$E$23="X",'Dim. cofinancement'!E7,0))*'Taux de change'!$C$3*(1-F7),-4)</f>
        <v>#VALUE!</v>
      </c>
      <c r="I7" s="55" t="e">
        <f t="shared" si="1"/>
        <v>#VALUE!</v>
      </c>
      <c r="J7" s="223"/>
      <c r="K7" s="226"/>
      <c r="L7" s="232"/>
      <c r="M7" s="233"/>
      <c r="N7" s="234"/>
      <c r="O7" s="50" t="e">
        <f>IF(J7="X",0,VLOOKUP(AC7,Tarification!$B$5:$H$50,6))</f>
        <v>#N/A</v>
      </c>
      <c r="P7" s="124">
        <f t="shared" si="6"/>
        <v>0</v>
      </c>
      <c r="Q7" s="71">
        <f>'Devis raccordement'!I43</f>
        <v>0</v>
      </c>
      <c r="R7" s="121">
        <f>IF(M7="X",$D$10/'Taux de change'!$C$3,0)</f>
        <v>0</v>
      </c>
      <c r="S7" s="77" t="e">
        <f t="shared" si="7"/>
        <v>#VALUE!</v>
      </c>
      <c r="T7" s="129">
        <f t="shared" si="8"/>
        <v>0</v>
      </c>
      <c r="U7" s="71" t="e">
        <f>T7/'Taux de change'!$C$3</f>
        <v>#DIV/0!</v>
      </c>
      <c r="V7" s="118" t="e">
        <f t="shared" si="2"/>
        <v>#DIV/0!</v>
      </c>
      <c r="W7" s="108" t="e">
        <f>(H7/'Taux de change'!$C$3)+IF('Part de cofinancement'!$F$19="X",'Dim. cofinancement'!C7,0)+IF('Part de cofinancement'!$F$20="X",'Dim. cofinancement'!O7,0)+IF('Part de cofinancement'!$F$21="X",'Dim. cofinancement'!Q7,0)+IF('Part de cofinancement'!$F$22="X",'Dim. cofinancement'!R7,0)+IF('Part de cofinancement'!$F$23="X",'Dim. cofinancement'!E7,0)</f>
        <v>#VALUE!</v>
      </c>
      <c r="X7" s="126" t="e">
        <f>W7*'Taux de change'!$C$3</f>
        <v>#VALUE!</v>
      </c>
      <c r="Y7" s="155" t="e">
        <f t="shared" si="9"/>
        <v>#VALUE!</v>
      </c>
      <c r="Z7" s="76" t="e">
        <f t="shared" si="10"/>
        <v>#VALUE!</v>
      </c>
      <c r="AA7" s="77" t="e">
        <f>S7-Y7/'Taux de change'!$C$3</f>
        <v>#VALUE!</v>
      </c>
      <c r="AB7" s="75"/>
      <c r="AC7" s="112" t="str">
        <f t="shared" si="11"/>
        <v/>
      </c>
      <c r="AD7" s="110" t="e">
        <f>IF(AC7&gt;45,Tarification!$D$50+Tarification!$F$4*AC7,VLOOKUP(AC7,Tarification!$B$5:$M$50,8))</f>
        <v>#VALUE!</v>
      </c>
      <c r="AF7" s="238"/>
      <c r="AI7" s="22"/>
      <c r="AM7" s="81" t="str">
        <f>'Données brutes'!B17</f>
        <v>Porteur de projet 5</v>
      </c>
      <c r="AN7" s="82" t="str">
        <f>'Données brutes'!I$17</f>
        <v/>
      </c>
      <c r="AO7" s="82" t="str">
        <f>'Données brutes'!N$17</f>
        <v/>
      </c>
      <c r="AP7" s="82">
        <f>'Données brutes'!J$17</f>
        <v>0</v>
      </c>
      <c r="AQ7" s="82">
        <f>'Données brutes'!H$17</f>
        <v>0</v>
      </c>
    </row>
    <row r="8" spans="1:43" ht="20" thickBot="1" x14ac:dyDescent="0.25">
      <c r="A8" s="86" t="str">
        <f t="shared" si="3"/>
        <v>Porteur de projet 6</v>
      </c>
      <c r="B8" s="219"/>
      <c r="C8" s="131" t="str">
        <f t="shared" si="4"/>
        <v/>
      </c>
      <c r="D8" s="72" t="e">
        <f>ROUND(C8/'Taux de change'!$C$3,-1)</f>
        <v>#VALUE!</v>
      </c>
      <c r="E8" s="132" t="e">
        <f t="shared" si="5"/>
        <v>#VALUE!</v>
      </c>
      <c r="F8" s="170">
        <f t="shared" si="0"/>
        <v>0</v>
      </c>
      <c r="G8" s="175" t="e">
        <f>IF(IF('Part de cofinancement'!$E$19="X",'Dim. cofinancement'!D8,0)+IF('Part de cofinancement'!$E$23="X",'Dim. cofinancement'!E8,0)+IF('Part de cofinancement'!$E$20="X",'Dim. cofinancement'!O8,0)+IF('Part de cofinancement'!$E$21="X",'Dim. cofinancement'!Q8,0)+IF('Part de cofinancement'!$E$22="X",'Dim. cofinancement'!R8,0)&lt;'Part de cofinancement'!$B$3,'Part de cofinancement'!$C$3,IF(IF('Part de cofinancement'!$E$19="X",'Dim. cofinancement'!D8,0)+IF('Part de cofinancement'!$E$23="X",'Dim. cofinancement'!E8,0)+IF('Part de cofinancement'!$E$20="X",'Dim. cofinancement'!O8,0)+IF('Part de cofinancement'!$E$21="X",'Dim. cofinancement'!Q8,0)+IF('Part de cofinancement'!$E$22="X",'Dim. cofinancement'!R8,0)&lt;'Part de cofinancement'!$B$5,'Part de cofinancement'!$C$5,IF(IF('Part de cofinancement'!$E$19="X",'Dim. cofinancement'!D8,0)+IF('Part de cofinancement'!$E$23="X",'Dim. cofinancement'!E8,0)+IF('Part de cofinancement'!$E$20="X",'Dim. cofinancement'!O8,0)+IF('Part de cofinancement'!$E$21="X",'Dim. cofinancement'!Q8,0)+IF('Part de cofinancement'!$E$22="X",'Dim. cofinancement'!R8,0)&lt;'Part de cofinancement'!$B$7,'Part de cofinancement'!$C$7,IF(IF('Part de cofinancement'!$E$19="X",'Dim. cofinancement'!D8,0)+IF('Part de cofinancement'!$E$23="X",'Dim. cofinancement'!E8,0)+IF('Part de cofinancement'!$E$20="X",'Dim. cofinancement'!O8,0)+IF('Part de cofinancement'!$E$21="X",'Dim. cofinancement'!Q8,0)+IF('Part de cofinancement'!$E$22="X",'Dim. cofinancement'!R8,0)&lt;'Part de cofinancement'!$B$9,'Part de cofinancement'!$C$9,IF(IF('Part de cofinancement'!$E$19="X",'Dim. cofinancement'!D8,0)+IF('Part de cofinancement'!$E$23="X",'Dim. cofinancement'!E8,0)+IF('Part de cofinancement'!$E$20="X",'Dim. cofinancement'!O8,0)+IF('Part de cofinancement'!$E$21="X",'Dim. cofinancement'!Q8,0)+IF('Part de cofinancement'!$E$22="X",'Dim. cofinancement'!R8,0)&lt;'Part de cofinancement'!$B$11,'Part de cofinancement'!$C$11)))))</f>
        <v>#VALUE!</v>
      </c>
      <c r="H8" s="176" t="e">
        <f>ROUND(G8*(IF('Part de cofinancement'!$E$19="X",'Dim. cofinancement'!D8,0)+IF('Part de cofinancement'!$E$20="X",'Dim. cofinancement'!O8,0)+IF('Part de cofinancement'!$E$21="X",'Dim. cofinancement'!Q8,0)+IF('Part de cofinancement'!$E$22="X",'Dim. cofinancement'!R8,0)+IF('Part de cofinancement'!$E$23="X",'Dim. cofinancement'!E8,0))*'Taux de change'!$C$3*(1-F8),-4)</f>
        <v>#VALUE!</v>
      </c>
      <c r="I8" s="56" t="e">
        <f t="shared" si="1"/>
        <v>#VALUE!</v>
      </c>
      <c r="J8" s="224"/>
      <c r="K8" s="228"/>
      <c r="L8" s="235"/>
      <c r="M8" s="236"/>
      <c r="N8" s="237"/>
      <c r="O8" s="87" t="e">
        <f>IF(J8="X",0,VLOOKUP(AC8,Tarification!$B$5:$H$50,6))</f>
        <v>#N/A</v>
      </c>
      <c r="P8" s="125">
        <f t="shared" si="6"/>
        <v>0</v>
      </c>
      <c r="Q8" s="72">
        <f>'Devis raccordement'!L43</f>
        <v>0</v>
      </c>
      <c r="R8" s="122">
        <f>IF(M8="X",$D$10/'Taux de change'!$C$3,0)</f>
        <v>0</v>
      </c>
      <c r="S8" s="79" t="e">
        <f t="shared" si="7"/>
        <v>#VALUE!</v>
      </c>
      <c r="T8" s="131">
        <f t="shared" si="8"/>
        <v>0</v>
      </c>
      <c r="U8" s="72" t="e">
        <f>T8/'Taux de change'!$C$3</f>
        <v>#DIV/0!</v>
      </c>
      <c r="V8" s="119" t="e">
        <f t="shared" si="2"/>
        <v>#DIV/0!</v>
      </c>
      <c r="W8" s="109" t="e">
        <f>(H8/'Taux de change'!$C$3)+IF('Part de cofinancement'!$F$19="X",'Dim. cofinancement'!C8,0)+IF('Part de cofinancement'!$F$20="X",'Dim. cofinancement'!O8,0)+IF('Part de cofinancement'!$F$21="X",'Dim. cofinancement'!Q8,0)+IF('Part de cofinancement'!$F$22="X",'Dim. cofinancement'!R8,0)+IF('Part de cofinancement'!$F$23="X",'Dim. cofinancement'!E8,0)</f>
        <v>#VALUE!</v>
      </c>
      <c r="X8" s="154" t="e">
        <f>W8*'Taux de change'!$C$3</f>
        <v>#VALUE!</v>
      </c>
      <c r="Y8" s="156" t="e">
        <f t="shared" si="9"/>
        <v>#VALUE!</v>
      </c>
      <c r="Z8" s="78" t="e">
        <f t="shared" si="10"/>
        <v>#VALUE!</v>
      </c>
      <c r="AA8" s="79" t="e">
        <f>S8-Y8/'Taux de change'!$C$3</f>
        <v>#VALUE!</v>
      </c>
      <c r="AB8" s="88"/>
      <c r="AC8" s="113" t="str">
        <f t="shared" si="11"/>
        <v/>
      </c>
      <c r="AD8" s="111" t="e">
        <f>IF(AC8&gt;45,Tarification!$D$50+Tarification!$F$4*AC8,VLOOKUP(AC8,Tarification!$B$5:$M$50,8))</f>
        <v>#VALUE!</v>
      </c>
      <c r="AF8" s="240"/>
      <c r="AI8" s="22"/>
      <c r="AM8" s="81" t="str">
        <f>'Données brutes'!B20</f>
        <v>Porteur de projet 6</v>
      </c>
      <c r="AN8" s="82" t="str">
        <f>'Données brutes'!I$20</f>
        <v/>
      </c>
      <c r="AO8" s="82" t="str">
        <f>'Données brutes'!N$20</f>
        <v/>
      </c>
      <c r="AP8" s="82">
        <f>'Données brutes'!J$20</f>
        <v>0</v>
      </c>
      <c r="AQ8" s="82">
        <f>'Données brutes'!H$20</f>
        <v>0</v>
      </c>
    </row>
    <row r="9" spans="1:43" ht="22" thickBot="1" x14ac:dyDescent="0.25">
      <c r="M9" s="40" t="s">
        <v>45</v>
      </c>
      <c r="Q9" s="388">
        <f>SUM(Q3:Q8,R3:R8)</f>
        <v>0</v>
      </c>
      <c r="R9" s="389"/>
      <c r="U9" s="21"/>
      <c r="W9" s="21"/>
      <c r="Z9" s="53" t="s">
        <v>54</v>
      </c>
      <c r="AA9" s="57" t="e">
        <f>ROUNDUP(SUM(AA3:AA8),-3)</f>
        <v>#VALUE!</v>
      </c>
      <c r="AF9" s="51"/>
      <c r="AI9" s="22"/>
    </row>
    <row r="10" spans="1:43" ht="18" customHeight="1" x14ac:dyDescent="0.2">
      <c r="A10" s="45" t="s">
        <v>33</v>
      </c>
      <c r="B10" s="220">
        <v>0.1</v>
      </c>
      <c r="C10" s="157"/>
      <c r="D10" s="142"/>
      <c r="G10" s="5"/>
      <c r="H10" s="44"/>
      <c r="I10" s="40"/>
      <c r="J10" s="40"/>
      <c r="K10" s="18"/>
      <c r="L10" s="40"/>
      <c r="M10" s="40"/>
      <c r="N10" s="40"/>
      <c r="Q10" s="26"/>
      <c r="R10" s="21"/>
      <c r="S10" s="22"/>
      <c r="T10" s="48"/>
      <c r="U10" s="46"/>
      <c r="V10" s="46"/>
      <c r="W10" s="46"/>
      <c r="Y10" s="21"/>
      <c r="AA10" s="47"/>
      <c r="AB10" s="40"/>
      <c r="AC10" s="27"/>
      <c r="AD10" s="25"/>
      <c r="AG10" s="22"/>
    </row>
    <row r="11" spans="1:43" ht="35" thickBot="1" x14ac:dyDescent="0.25">
      <c r="A11" s="80" t="s">
        <v>48</v>
      </c>
      <c r="B11" s="221">
        <v>0.1</v>
      </c>
      <c r="C11" s="157"/>
      <c r="D11" s="142"/>
      <c r="G11" s="5"/>
      <c r="H11" s="40"/>
      <c r="I11" s="40"/>
      <c r="J11" s="40"/>
      <c r="K11" s="40"/>
      <c r="L11" s="40"/>
      <c r="M11" s="40"/>
      <c r="N11" s="40"/>
      <c r="O11" s="162"/>
      <c r="Q11" s="26"/>
      <c r="R11" s="18"/>
      <c r="S11" s="22"/>
      <c r="T11" s="18"/>
      <c r="AA11" s="40"/>
      <c r="AB11" s="40"/>
      <c r="AC11" s="27"/>
    </row>
    <row r="12" spans="1:43" x14ac:dyDescent="0.2">
      <c r="A12" s="59"/>
      <c r="B12" s="52"/>
      <c r="C12" s="157"/>
      <c r="D12" s="142"/>
      <c r="G12" s="5"/>
      <c r="H12" s="40"/>
      <c r="I12" s="40"/>
      <c r="J12" s="40"/>
      <c r="K12" s="65"/>
      <c r="L12" s="40"/>
      <c r="M12" s="40"/>
      <c r="N12" s="40"/>
      <c r="Q12" s="26"/>
      <c r="R12" s="18"/>
      <c r="S12" s="22"/>
      <c r="T12" s="18"/>
      <c r="AA12" s="40"/>
      <c r="AB12" s="40"/>
      <c r="AC12" s="27"/>
    </row>
    <row r="13" spans="1:43" x14ac:dyDescent="0.2">
      <c r="A13" s="59"/>
      <c r="B13" s="52"/>
      <c r="C13" s="157"/>
      <c r="D13" s="142"/>
      <c r="G13" s="5"/>
      <c r="H13" s="40"/>
      <c r="I13" s="40"/>
      <c r="J13" s="40"/>
      <c r="K13" s="65"/>
      <c r="L13" s="40"/>
      <c r="M13" s="40"/>
      <c r="N13" s="40"/>
      <c r="Q13" s="26"/>
      <c r="R13" s="18"/>
      <c r="S13" s="22"/>
      <c r="T13" s="18"/>
      <c r="AA13" s="40"/>
      <c r="AB13" s="40"/>
      <c r="AC13" s="27"/>
    </row>
    <row r="14" spans="1:43" x14ac:dyDescent="0.2">
      <c r="A14" s="59"/>
      <c r="B14" s="52"/>
      <c r="C14" s="157"/>
      <c r="D14" s="142"/>
      <c r="G14" s="5"/>
      <c r="H14" s="40"/>
      <c r="I14" s="40"/>
      <c r="J14" s="40"/>
      <c r="K14" s="65"/>
      <c r="L14" s="40"/>
      <c r="M14" s="40"/>
      <c r="N14" s="40"/>
      <c r="Q14" s="26"/>
      <c r="R14" s="18"/>
      <c r="S14" s="22"/>
      <c r="T14" s="18"/>
      <c r="AA14" s="40"/>
      <c r="AB14" s="40"/>
      <c r="AC14" s="27"/>
    </row>
    <row r="15" spans="1:43" x14ac:dyDescent="0.2">
      <c r="C15" s="158"/>
      <c r="D15" s="142"/>
      <c r="G15" s="5"/>
      <c r="H15" s="33"/>
      <c r="I15" s="33"/>
      <c r="J15" s="33"/>
      <c r="K15" s="33"/>
      <c r="L15" s="2"/>
      <c r="N15" s="18"/>
      <c r="P15" s="26"/>
      <c r="R15" s="22"/>
      <c r="T15" s="18"/>
      <c r="Z15" s="27"/>
      <c r="AB15" s="18"/>
    </row>
    <row r="16" spans="1:43" x14ac:dyDescent="0.2">
      <c r="C16" s="158"/>
      <c r="D16" s="144"/>
      <c r="G16" s="5"/>
      <c r="H16" s="38"/>
      <c r="I16" s="38"/>
      <c r="J16" s="43"/>
      <c r="K16" s="38"/>
      <c r="L16" s="2"/>
      <c r="N16" s="18"/>
      <c r="P16" s="26"/>
      <c r="R16" s="22"/>
      <c r="T16" s="18"/>
      <c r="Z16" s="27"/>
      <c r="AB16" s="18"/>
    </row>
    <row r="17" spans="3:28" x14ac:dyDescent="0.2">
      <c r="C17" s="159"/>
      <c r="D17" s="146"/>
      <c r="G17" s="5"/>
      <c r="I17" s="20"/>
      <c r="K17" s="18"/>
      <c r="L17" s="39"/>
      <c r="N17" s="18"/>
      <c r="P17" s="26"/>
      <c r="R17" s="22"/>
      <c r="T17" s="18"/>
      <c r="Z17" s="27"/>
      <c r="AA17" s="23"/>
      <c r="AB17" s="23"/>
    </row>
    <row r="18" spans="3:28" x14ac:dyDescent="0.2">
      <c r="C18" s="160"/>
      <c r="D18" s="146"/>
      <c r="G18" s="5"/>
      <c r="I18" s="20"/>
      <c r="K18" s="18"/>
      <c r="L18" s="18"/>
      <c r="N18" s="26"/>
      <c r="P18" s="22"/>
      <c r="R18" s="18"/>
      <c r="T18" s="18"/>
      <c r="X18" s="27"/>
      <c r="AB18" s="18"/>
    </row>
    <row r="19" spans="3:28" x14ac:dyDescent="0.2">
      <c r="N19" s="18"/>
      <c r="P19" s="26"/>
      <c r="R19" s="22"/>
      <c r="T19" s="18"/>
      <c r="Z19" s="27"/>
      <c r="AB19" s="18"/>
    </row>
    <row r="20" spans="3:28" x14ac:dyDescent="0.2">
      <c r="F20" s="32"/>
      <c r="G20" s="32"/>
      <c r="J20" s="29"/>
      <c r="K20" s="29"/>
      <c r="L20" s="29"/>
      <c r="N20" s="18"/>
      <c r="P20" s="26"/>
      <c r="R20" s="22"/>
      <c r="T20" s="18"/>
      <c r="Z20" s="27"/>
      <c r="AB20" s="18"/>
    </row>
    <row r="21" spans="3:28" x14ac:dyDescent="0.2">
      <c r="F21" s="32"/>
      <c r="G21" s="32"/>
      <c r="J21" s="29"/>
      <c r="K21" s="29"/>
      <c r="L21" s="29"/>
      <c r="N21" s="18"/>
      <c r="P21" s="26"/>
      <c r="R21" s="22"/>
      <c r="T21" s="18"/>
      <c r="Z21" s="27"/>
      <c r="AB21" s="18"/>
    </row>
    <row r="22" spans="3:28" x14ac:dyDescent="0.2">
      <c r="F22" s="33"/>
      <c r="G22" s="33"/>
      <c r="J22" s="28"/>
      <c r="K22" s="28"/>
      <c r="L22" s="28"/>
      <c r="N22" s="18"/>
      <c r="P22" s="26"/>
      <c r="R22" s="22"/>
      <c r="T22" s="18"/>
      <c r="Z22" s="27"/>
      <c r="AB22" s="18"/>
    </row>
    <row r="23" spans="3:28" x14ac:dyDescent="0.2">
      <c r="F23" s="33"/>
      <c r="G23" s="33"/>
      <c r="J23" s="28"/>
      <c r="K23" s="28"/>
      <c r="L23" s="28"/>
      <c r="N23" s="18"/>
      <c r="P23" s="26"/>
      <c r="R23" s="22"/>
      <c r="T23" s="18"/>
      <c r="Z23" s="27"/>
      <c r="AB23" s="18"/>
    </row>
    <row r="24" spans="3:28" x14ac:dyDescent="0.2">
      <c r="F24" s="33"/>
      <c r="G24" s="33"/>
      <c r="J24" s="28"/>
      <c r="K24" s="28"/>
      <c r="L24" s="28"/>
      <c r="N24" s="18"/>
      <c r="P24" s="26"/>
      <c r="R24" s="22"/>
      <c r="T24" s="18"/>
      <c r="Z24" s="27"/>
      <c r="AB24" s="18"/>
    </row>
    <row r="25" spans="3:28" x14ac:dyDescent="0.2">
      <c r="F25" s="33"/>
      <c r="G25" s="33"/>
      <c r="J25" s="28"/>
      <c r="K25" s="28"/>
      <c r="L25" s="28"/>
      <c r="N25" s="18"/>
      <c r="P25" s="26"/>
      <c r="R25" s="22"/>
      <c r="T25" s="18"/>
      <c r="Z25" s="27"/>
      <c r="AB25" s="18"/>
    </row>
    <row r="26" spans="3:28" x14ac:dyDescent="0.2">
      <c r="F26" s="33"/>
      <c r="G26" s="33"/>
      <c r="J26" s="28"/>
      <c r="K26" s="28"/>
      <c r="L26" s="28"/>
      <c r="N26" s="18"/>
      <c r="P26" s="26"/>
      <c r="R26" s="22"/>
      <c r="T26" s="18"/>
      <c r="Z26" s="27"/>
      <c r="AB26" s="18"/>
    </row>
    <row r="27" spans="3:28" x14ac:dyDescent="0.2">
      <c r="F27" s="33"/>
      <c r="G27" s="33"/>
      <c r="I27" s="42"/>
      <c r="J27" s="28"/>
      <c r="K27" s="28"/>
      <c r="L27" s="28"/>
      <c r="N27" s="18"/>
      <c r="P27" s="26"/>
      <c r="R27" s="22"/>
      <c r="T27" s="18"/>
      <c r="Z27" s="27"/>
      <c r="AB27" s="18"/>
    </row>
    <row r="28" spans="3:28" x14ac:dyDescent="0.2">
      <c r="F28" s="33"/>
      <c r="G28" s="33"/>
      <c r="H28" s="33"/>
      <c r="I28" s="42"/>
      <c r="J28" s="28"/>
      <c r="K28" s="28"/>
      <c r="L28" s="28"/>
    </row>
    <row r="29" spans="3:28" x14ac:dyDescent="0.2">
      <c r="F29" s="33"/>
      <c r="G29" s="33"/>
      <c r="H29" s="33"/>
      <c r="I29" s="42"/>
      <c r="J29" s="28"/>
      <c r="K29" s="28"/>
      <c r="L29" s="28"/>
    </row>
    <row r="30" spans="3:28" x14ac:dyDescent="0.2">
      <c r="F30" s="33"/>
      <c r="G30" s="33"/>
      <c r="H30" s="33"/>
      <c r="I30" s="42"/>
      <c r="J30" s="28"/>
      <c r="K30" s="28"/>
      <c r="L30" s="28"/>
    </row>
    <row r="31" spans="3:28" x14ac:dyDescent="0.2">
      <c r="F31" s="32"/>
      <c r="G31" s="32"/>
      <c r="H31" s="32"/>
    </row>
    <row r="32" spans="3:28" x14ac:dyDescent="0.2">
      <c r="F32" s="32"/>
      <c r="G32" s="32"/>
      <c r="H32" s="32"/>
    </row>
    <row r="33" spans="1:8" x14ac:dyDescent="0.2">
      <c r="F33" s="32"/>
      <c r="G33" s="32"/>
      <c r="H33" s="32"/>
    </row>
    <row r="34" spans="1:8" x14ac:dyDescent="0.2">
      <c r="F34" s="32"/>
      <c r="G34" s="32"/>
      <c r="H34" s="32"/>
    </row>
    <row r="35" spans="1:8" x14ac:dyDescent="0.2">
      <c r="A35" s="30"/>
      <c r="B35" s="31"/>
      <c r="C35" s="32"/>
      <c r="D35" s="32"/>
      <c r="E35" s="32"/>
      <c r="F35" s="32"/>
      <c r="G35" s="32"/>
      <c r="H35" s="32"/>
    </row>
    <row r="36" spans="1:8" x14ac:dyDescent="0.2">
      <c r="A36" s="30"/>
      <c r="B36" s="31"/>
      <c r="C36" s="32"/>
      <c r="D36" s="32"/>
      <c r="E36" s="32"/>
      <c r="F36" s="32"/>
      <c r="G36" s="32"/>
      <c r="H36" s="32"/>
    </row>
    <row r="37" spans="1:8" x14ac:dyDescent="0.2">
      <c r="A37" s="30"/>
      <c r="B37" s="31"/>
      <c r="C37" s="32"/>
      <c r="D37" s="32"/>
      <c r="E37" s="32"/>
      <c r="F37" s="32"/>
      <c r="G37" s="32"/>
      <c r="H37" s="32"/>
    </row>
    <row r="38" spans="1:8" x14ac:dyDescent="0.2">
      <c r="A38" s="30"/>
      <c r="B38" s="31"/>
      <c r="C38" s="32"/>
      <c r="D38" s="32"/>
      <c r="E38" s="32"/>
      <c r="F38" s="32"/>
      <c r="G38" s="32"/>
      <c r="H38" s="32"/>
    </row>
    <row r="39" spans="1:8" x14ac:dyDescent="0.2">
      <c r="A39" s="30"/>
      <c r="B39" s="31"/>
      <c r="C39" s="32"/>
      <c r="D39" s="32"/>
      <c r="E39" s="32"/>
      <c r="F39" s="32"/>
      <c r="G39" s="32"/>
      <c r="H39" s="32"/>
    </row>
    <row r="40" spans="1:8" x14ac:dyDescent="0.2">
      <c r="A40" s="30"/>
      <c r="B40" s="31"/>
      <c r="C40" s="32"/>
      <c r="D40" s="32"/>
      <c r="E40" s="32"/>
      <c r="F40" s="32"/>
      <c r="G40" s="32"/>
      <c r="H40" s="32"/>
    </row>
    <row r="41" spans="1:8" x14ac:dyDescent="0.2">
      <c r="A41" s="30"/>
      <c r="B41" s="31"/>
      <c r="C41" s="32"/>
      <c r="D41" s="32"/>
      <c r="E41" s="32"/>
      <c r="F41" s="32"/>
      <c r="G41" s="32"/>
      <c r="H41" s="32"/>
    </row>
    <row r="42" spans="1:8" x14ac:dyDescent="0.2">
      <c r="A42" s="30"/>
      <c r="B42" s="31"/>
      <c r="C42" s="32"/>
      <c r="D42" s="32"/>
      <c r="E42" s="32"/>
      <c r="F42" s="32"/>
      <c r="G42" s="32"/>
      <c r="H42" s="32"/>
    </row>
    <row r="43" spans="1:8" x14ac:dyDescent="0.2">
      <c r="A43" s="30"/>
      <c r="B43" s="31"/>
      <c r="C43" s="32"/>
      <c r="D43" s="32"/>
      <c r="E43" s="32"/>
      <c r="F43" s="32"/>
      <c r="G43" s="32"/>
      <c r="H43" s="32"/>
    </row>
    <row r="44" spans="1:8" x14ac:dyDescent="0.2">
      <c r="A44" s="30"/>
      <c r="B44" s="31"/>
      <c r="C44" s="32"/>
      <c r="D44" s="32"/>
      <c r="E44" s="32"/>
      <c r="F44" s="32"/>
      <c r="G44" s="32"/>
      <c r="H44" s="32"/>
    </row>
    <row r="45" spans="1:8" x14ac:dyDescent="0.2">
      <c r="A45" s="30"/>
      <c r="B45" s="31"/>
      <c r="C45" s="32"/>
      <c r="D45" s="32"/>
      <c r="E45" s="32"/>
      <c r="F45" s="32"/>
      <c r="G45" s="32"/>
      <c r="H45" s="32"/>
    </row>
    <row r="46" spans="1:8" x14ac:dyDescent="0.2">
      <c r="A46" s="30"/>
      <c r="B46" s="31"/>
      <c r="C46" s="32"/>
      <c r="D46" s="32"/>
      <c r="E46" s="32"/>
      <c r="F46" s="32"/>
      <c r="G46" s="32"/>
      <c r="H46" s="32"/>
    </row>
    <row r="47" spans="1:8" x14ac:dyDescent="0.2">
      <c r="A47" s="30"/>
      <c r="B47" s="31"/>
      <c r="C47" s="32"/>
      <c r="D47" s="32"/>
      <c r="E47" s="32"/>
      <c r="F47" s="32"/>
      <c r="G47" s="32"/>
      <c r="H47" s="32"/>
    </row>
    <row r="48" spans="1:8" x14ac:dyDescent="0.2">
      <c r="A48" s="30"/>
      <c r="B48" s="31"/>
      <c r="C48" s="32"/>
      <c r="D48" s="32"/>
      <c r="E48" s="32"/>
      <c r="F48" s="32"/>
      <c r="G48" s="32"/>
      <c r="H48" s="32"/>
    </row>
    <row r="49" spans="1:8" x14ac:dyDescent="0.2">
      <c r="A49" s="30"/>
      <c r="B49" s="31"/>
      <c r="C49" s="32"/>
      <c r="D49" s="32"/>
      <c r="E49" s="32"/>
      <c r="F49" s="32"/>
      <c r="G49" s="32"/>
      <c r="H49" s="32"/>
    </row>
    <row r="50" spans="1:8" x14ac:dyDescent="0.2">
      <c r="A50" s="30"/>
      <c r="B50" s="31"/>
      <c r="C50" s="32"/>
      <c r="D50" s="32"/>
      <c r="E50" s="32"/>
      <c r="F50" s="32"/>
      <c r="G50" s="32"/>
      <c r="H50" s="32"/>
    </row>
    <row r="51" spans="1:8" x14ac:dyDescent="0.2">
      <c r="A51" s="30"/>
      <c r="B51" s="31"/>
      <c r="C51" s="32"/>
      <c r="D51" s="32"/>
      <c r="E51" s="32"/>
      <c r="F51" s="32"/>
      <c r="G51" s="32"/>
      <c r="H51" s="32"/>
    </row>
  </sheetData>
  <sheetProtection insertRows="0" selectLockedCells="1"/>
  <sortState xmlns:xlrd2="http://schemas.microsoft.com/office/spreadsheetml/2017/richdata2" ref="A3:AF17">
    <sortCondition ref="O3:O17"/>
  </sortState>
  <mergeCells count="5">
    <mergeCell ref="W2:Y2"/>
    <mergeCell ref="G2:H2"/>
    <mergeCell ref="C2:D2"/>
    <mergeCell ref="T2:V2"/>
    <mergeCell ref="Q9:R9"/>
  </mergeCells>
  <conditionalFormatting sqref="X11:X17 Z28:Z1048576 X19:X27 V18 Z1:Z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showGridLines="0" workbookViewId="0">
      <selection activeCell="C3" sqref="C3"/>
    </sheetView>
  </sheetViews>
  <sheetFormatPr baseColWidth="10" defaultRowHeight="16" x14ac:dyDescent="0.2"/>
  <cols>
    <col min="1" max="1" width="29.1640625" style="2" bestFit="1" customWidth="1"/>
    <col min="2" max="2" width="29.1640625" style="2" customWidth="1"/>
    <col min="3" max="3" width="54.6640625" style="2" bestFit="1" customWidth="1"/>
    <col min="4" max="4" width="22.83203125" style="2" bestFit="1" customWidth="1"/>
    <col min="5" max="7" width="22.83203125" style="2" hidden="1" customWidth="1"/>
    <col min="8" max="8" width="10.83203125" style="2"/>
    <col min="9" max="9" width="20.1640625" style="2" hidden="1" customWidth="1"/>
    <col min="10" max="16384" width="10.83203125" style="2"/>
  </cols>
  <sheetData>
    <row r="1" spans="1:9" ht="17" thickBot="1" x14ac:dyDescent="0.25"/>
    <row r="2" spans="1:9" ht="21" x14ac:dyDescent="0.2">
      <c r="A2" s="394" t="s">
        <v>14</v>
      </c>
      <c r="B2" s="395"/>
      <c r="C2" s="164" t="s">
        <v>21</v>
      </c>
      <c r="I2" s="2" t="s">
        <v>77</v>
      </c>
    </row>
    <row r="3" spans="1:9" x14ac:dyDescent="0.2">
      <c r="A3" s="260">
        <v>0</v>
      </c>
      <c r="B3" s="261">
        <v>200</v>
      </c>
      <c r="C3" s="241"/>
      <c r="I3" s="39" t="s">
        <v>80</v>
      </c>
    </row>
    <row r="4" spans="1:9" x14ac:dyDescent="0.2">
      <c r="A4" s="100"/>
      <c r="B4" s="101"/>
      <c r="C4" s="165"/>
      <c r="I4" s="39" t="s">
        <v>81</v>
      </c>
    </row>
    <row r="5" spans="1:9" x14ac:dyDescent="0.2">
      <c r="A5" s="260">
        <v>201</v>
      </c>
      <c r="B5" s="261">
        <v>300</v>
      </c>
      <c r="C5" s="241"/>
    </row>
    <row r="6" spans="1:9" x14ac:dyDescent="0.2">
      <c r="A6" s="100"/>
      <c r="B6" s="101"/>
      <c r="C6" s="165"/>
    </row>
    <row r="7" spans="1:9" x14ac:dyDescent="0.2">
      <c r="A7" s="260">
        <v>301</v>
      </c>
      <c r="B7" s="261">
        <v>1000</v>
      </c>
      <c r="C7" s="241"/>
    </row>
    <row r="8" spans="1:9" x14ac:dyDescent="0.2">
      <c r="A8" s="100"/>
      <c r="B8" s="101"/>
      <c r="C8" s="165"/>
    </row>
    <row r="9" spans="1:9" x14ac:dyDescent="0.2">
      <c r="A9" s="260">
        <v>1001</v>
      </c>
      <c r="B9" s="261">
        <v>2000</v>
      </c>
      <c r="C9" s="241"/>
    </row>
    <row r="10" spans="1:9" x14ac:dyDescent="0.2">
      <c r="A10" s="100"/>
      <c r="B10" s="101"/>
      <c r="C10" s="165"/>
    </row>
    <row r="11" spans="1:9" ht="17" thickBot="1" x14ac:dyDescent="0.25">
      <c r="A11" s="262">
        <v>2001</v>
      </c>
      <c r="B11" s="263">
        <v>10000</v>
      </c>
      <c r="C11" s="242"/>
    </row>
    <row r="17" spans="1:7" ht="17" thickBot="1" x14ac:dyDescent="0.25"/>
    <row r="18" spans="1:7" ht="18" customHeight="1" x14ac:dyDescent="0.2">
      <c r="A18" s="107" t="s">
        <v>71</v>
      </c>
      <c r="B18" s="396" t="s">
        <v>78</v>
      </c>
      <c r="C18" s="397"/>
      <c r="E18" s="163" t="s">
        <v>79</v>
      </c>
      <c r="F18" s="166">
        <v>1</v>
      </c>
      <c r="G18" s="166">
        <v>0</v>
      </c>
    </row>
    <row r="19" spans="1:7" ht="17" x14ac:dyDescent="0.2">
      <c r="A19" s="104" t="s">
        <v>72</v>
      </c>
      <c r="B19" s="392" t="s">
        <v>77</v>
      </c>
      <c r="C19" s="393"/>
      <c r="E19" s="163" t="str">
        <f>IF(B19=$I$2,"X","")</f>
        <v>X</v>
      </c>
      <c r="F19" s="163" t="str">
        <f>IF(B19=$I$3,"X","")</f>
        <v/>
      </c>
      <c r="G19" s="163" t="str">
        <f>IF(B19=$I$4,"X","")</f>
        <v/>
      </c>
    </row>
    <row r="20" spans="1:7" ht="34" x14ac:dyDescent="0.2">
      <c r="A20" s="104" t="s">
        <v>73</v>
      </c>
      <c r="B20" s="392" t="s">
        <v>80</v>
      </c>
      <c r="C20" s="393"/>
      <c r="E20" s="163" t="str">
        <f>IF(B20=$I$2,"X","")</f>
        <v/>
      </c>
      <c r="F20" s="163" t="str">
        <f>IF(B20=$I$3,"X","")</f>
        <v>X</v>
      </c>
      <c r="G20" s="163" t="str">
        <f>IF(B20=$I$4,"X","")</f>
        <v/>
      </c>
    </row>
    <row r="21" spans="1:7" ht="34" x14ac:dyDescent="0.2">
      <c r="A21" s="105" t="s">
        <v>74</v>
      </c>
      <c r="B21" s="392" t="s">
        <v>81</v>
      </c>
      <c r="C21" s="393"/>
      <c r="E21" s="163" t="str">
        <f>IF(B21=$I$2,"X","")</f>
        <v/>
      </c>
      <c r="F21" s="163" t="str">
        <f>IF(B21=$I$3,"X","")</f>
        <v/>
      </c>
      <c r="G21" s="163" t="str">
        <f>IF(B21=$I$4,"X","")</f>
        <v>X</v>
      </c>
    </row>
    <row r="22" spans="1:7" ht="17" x14ac:dyDescent="0.2">
      <c r="A22" s="105" t="s">
        <v>75</v>
      </c>
      <c r="B22" s="392" t="s">
        <v>81</v>
      </c>
      <c r="C22" s="393"/>
      <c r="E22" s="163" t="str">
        <f>IF(B22=$I$2,"X","")</f>
        <v/>
      </c>
      <c r="F22" s="163" t="str">
        <f>IF(B22=$I$3,"X","")</f>
        <v/>
      </c>
      <c r="G22" s="163" t="str">
        <f>IF(B22=$I$4,"X","")</f>
        <v>X</v>
      </c>
    </row>
    <row r="23" spans="1:7" ht="18" thickBot="1" x14ac:dyDescent="0.25">
      <c r="A23" s="106" t="s">
        <v>76</v>
      </c>
      <c r="B23" s="390" t="s">
        <v>77</v>
      </c>
      <c r="C23" s="391"/>
      <c r="E23" s="163" t="str">
        <f>IF(B23=$I$2,"X","")</f>
        <v>X</v>
      </c>
      <c r="F23" s="163" t="str">
        <f>IF(B23=$I$3,"X","")</f>
        <v/>
      </c>
      <c r="G23" s="163" t="str">
        <f>IF(B23=$I$4,"X","")</f>
        <v/>
      </c>
    </row>
  </sheetData>
  <sheetProtection selectLockedCells="1"/>
  <mergeCells count="7">
    <mergeCell ref="B23:C23"/>
    <mergeCell ref="B20:C20"/>
    <mergeCell ref="B21:C21"/>
    <mergeCell ref="B22:C22"/>
    <mergeCell ref="A2:B2"/>
    <mergeCell ref="B18:C18"/>
    <mergeCell ref="B19:C19"/>
  </mergeCells>
  <dataValidations count="1">
    <dataValidation type="list" allowBlank="1" showInputMessage="1" showErrorMessage="1" sqref="B19:C23" xr:uid="{00000000-0002-0000-0200-000000000000}">
      <formula1>$I$2:$I$4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50"/>
  <sheetViews>
    <sheetView showGridLines="0" zoomScale="90" zoomScaleNormal="90" zoomScalePageLayoutView="90" workbookViewId="0">
      <selection activeCell="C18" sqref="C18"/>
    </sheetView>
  </sheetViews>
  <sheetFormatPr baseColWidth="10" defaultRowHeight="16" x14ac:dyDescent="0.2"/>
  <cols>
    <col min="1" max="1" width="10.83203125" style="2"/>
    <col min="2" max="2" width="32.83203125" style="2" customWidth="1"/>
    <col min="3" max="3" width="28.83203125" style="2" bestFit="1" customWidth="1"/>
    <col min="4" max="4" width="28.33203125" style="2" bestFit="1" customWidth="1"/>
    <col min="5" max="5" width="34.83203125" style="2" bestFit="1" customWidth="1"/>
    <col min="6" max="6" width="29" style="2" bestFit="1" customWidth="1"/>
    <col min="7" max="7" width="19.1640625" style="41" bestFit="1" customWidth="1"/>
    <col min="9" max="9" width="2.33203125" style="185" customWidth="1"/>
    <col min="10" max="10" width="12" customWidth="1"/>
    <col min="11" max="11" width="10.33203125" style="2" customWidth="1"/>
    <col min="12" max="16384" width="10.83203125" style="2"/>
  </cols>
  <sheetData>
    <row r="2" spans="1:11" ht="17" thickBot="1" x14ac:dyDescent="0.25"/>
    <row r="3" spans="1:11" ht="21" x14ac:dyDescent="0.2">
      <c r="A3" s="410" t="s">
        <v>44</v>
      </c>
      <c r="B3" s="408" t="s">
        <v>5</v>
      </c>
      <c r="C3" s="413" t="s">
        <v>6</v>
      </c>
      <c r="D3" s="414"/>
      <c r="E3" s="395"/>
      <c r="F3" s="182" t="s">
        <v>7</v>
      </c>
      <c r="G3" s="400" t="s">
        <v>8</v>
      </c>
      <c r="H3" s="401"/>
      <c r="I3" s="12"/>
      <c r="J3" s="404" t="s">
        <v>29</v>
      </c>
      <c r="K3" s="405"/>
    </row>
    <row r="4" spans="1:11" ht="22" thickBot="1" x14ac:dyDescent="0.25">
      <c r="A4" s="411"/>
      <c r="B4" s="409"/>
      <c r="C4" s="183" t="s">
        <v>9</v>
      </c>
      <c r="D4" s="183" t="s">
        <v>10</v>
      </c>
      <c r="E4" s="264" t="s">
        <v>89</v>
      </c>
      <c r="F4" s="184">
        <v>950</v>
      </c>
      <c r="G4" s="402"/>
      <c r="H4" s="403"/>
      <c r="I4" s="12"/>
      <c r="J4" s="406"/>
      <c r="K4" s="407"/>
    </row>
    <row r="5" spans="1:11" x14ac:dyDescent="0.2">
      <c r="A5" s="412" t="s">
        <v>84</v>
      </c>
      <c r="B5" s="180">
        <v>1</v>
      </c>
      <c r="C5" s="243">
        <v>4500</v>
      </c>
      <c r="D5" s="243"/>
      <c r="E5" s="244"/>
      <c r="F5" s="244">
        <f>B5*$F$4</f>
        <v>950</v>
      </c>
      <c r="G5" s="245">
        <v>55000</v>
      </c>
      <c r="H5" s="181" t="e">
        <f>G5/'Taux de change'!$C$3</f>
        <v>#DIV/0!</v>
      </c>
      <c r="I5" s="13"/>
      <c r="J5" s="9">
        <f>IF(E5=0,IF(D5=0,C5+F5,AVERAGE(C5:D5)+F5),E5+F5)</f>
        <v>5450</v>
      </c>
      <c r="K5" s="10" t="e">
        <f>J5/'Taux de change'!$C$3</f>
        <v>#DIV/0!</v>
      </c>
    </row>
    <row r="6" spans="1:11" x14ac:dyDescent="0.2">
      <c r="A6" s="398"/>
      <c r="B6" s="3">
        <v>2</v>
      </c>
      <c r="C6" s="246">
        <v>4500</v>
      </c>
      <c r="D6" s="246"/>
      <c r="E6" s="247"/>
      <c r="F6" s="247">
        <f t="shared" ref="F6:F49" si="0">B6*$F$4</f>
        <v>1900</v>
      </c>
      <c r="G6" s="248">
        <v>55000</v>
      </c>
      <c r="H6" s="10" t="e">
        <f>G6/'Taux de change'!$C$3</f>
        <v>#DIV/0!</v>
      </c>
      <c r="I6" s="13"/>
      <c r="J6" s="9">
        <f t="shared" ref="J6:J49" si="1">IF(E6=0,IF(D6=0,C6+F6,AVERAGE(C6:D6)+F6),E6+F6)</f>
        <v>6400</v>
      </c>
      <c r="K6" s="10" t="e">
        <f>J6/'Taux de change'!$C$3</f>
        <v>#DIV/0!</v>
      </c>
    </row>
    <row r="7" spans="1:11" x14ac:dyDescent="0.2">
      <c r="A7" s="398"/>
      <c r="B7" s="3">
        <v>3</v>
      </c>
      <c r="C7" s="246">
        <v>4500</v>
      </c>
      <c r="D7" s="246"/>
      <c r="E7" s="247"/>
      <c r="F7" s="247">
        <f t="shared" si="0"/>
        <v>2850</v>
      </c>
      <c r="G7" s="248">
        <v>55000</v>
      </c>
      <c r="H7" s="10" t="e">
        <f>G7/'Taux de change'!$C$3</f>
        <v>#DIV/0!</v>
      </c>
      <c r="I7" s="13"/>
      <c r="J7" s="9">
        <f t="shared" si="1"/>
        <v>7350</v>
      </c>
      <c r="K7" s="10" t="e">
        <f>J7/'Taux de change'!$C$3</f>
        <v>#DIV/0!</v>
      </c>
    </row>
    <row r="8" spans="1:11" x14ac:dyDescent="0.2">
      <c r="A8" s="398"/>
      <c r="B8" s="3">
        <v>4</v>
      </c>
      <c r="C8" s="246">
        <v>4500</v>
      </c>
      <c r="D8" s="246"/>
      <c r="E8" s="247"/>
      <c r="F8" s="247">
        <f t="shared" si="0"/>
        <v>3800</v>
      </c>
      <c r="G8" s="248">
        <v>55000</v>
      </c>
      <c r="H8" s="10" t="e">
        <f>G8/'Taux de change'!$C$3</f>
        <v>#DIV/0!</v>
      </c>
      <c r="I8" s="13"/>
      <c r="J8" s="9">
        <f t="shared" si="1"/>
        <v>8300</v>
      </c>
      <c r="K8" s="10" t="e">
        <f>J8/'Taux de change'!$C$3</f>
        <v>#DIV/0!</v>
      </c>
    </row>
    <row r="9" spans="1:11" x14ac:dyDescent="0.2">
      <c r="A9" s="398"/>
      <c r="B9" s="3">
        <v>5</v>
      </c>
      <c r="C9" s="246">
        <v>6500</v>
      </c>
      <c r="D9" s="246"/>
      <c r="E9" s="247"/>
      <c r="F9" s="247">
        <f t="shared" si="0"/>
        <v>4750</v>
      </c>
      <c r="G9" s="248">
        <v>55000</v>
      </c>
      <c r="H9" s="10" t="e">
        <f>G9/'Taux de change'!$C$3</f>
        <v>#DIV/0!</v>
      </c>
      <c r="I9" s="13"/>
      <c r="J9" s="9">
        <f t="shared" si="1"/>
        <v>11250</v>
      </c>
      <c r="K9" s="10" t="e">
        <f>J9/'Taux de change'!$C$3</f>
        <v>#DIV/0!</v>
      </c>
    </row>
    <row r="10" spans="1:11" x14ac:dyDescent="0.2">
      <c r="A10" s="398"/>
      <c r="B10" s="3">
        <v>6</v>
      </c>
      <c r="C10" s="246">
        <v>6500</v>
      </c>
      <c r="D10" s="246"/>
      <c r="E10" s="247"/>
      <c r="F10" s="247">
        <f t="shared" si="0"/>
        <v>5700</v>
      </c>
      <c r="G10" s="248">
        <v>55000</v>
      </c>
      <c r="H10" s="10" t="e">
        <f>G10/'Taux de change'!$C$3</f>
        <v>#DIV/0!</v>
      </c>
      <c r="I10" s="13"/>
      <c r="J10" s="9">
        <f t="shared" si="1"/>
        <v>12200</v>
      </c>
      <c r="K10" s="10" t="e">
        <f>J10/'Taux de change'!$C$3</f>
        <v>#DIV/0!</v>
      </c>
    </row>
    <row r="11" spans="1:11" x14ac:dyDescent="0.2">
      <c r="A11" s="398"/>
      <c r="B11" s="3">
        <v>7</v>
      </c>
      <c r="C11" s="246">
        <v>6500</v>
      </c>
      <c r="D11" s="246"/>
      <c r="E11" s="247"/>
      <c r="F11" s="247">
        <f t="shared" si="0"/>
        <v>6650</v>
      </c>
      <c r="G11" s="248">
        <v>55000</v>
      </c>
      <c r="H11" s="10" t="e">
        <f>G11/'Taux de change'!$C$3</f>
        <v>#DIV/0!</v>
      </c>
      <c r="I11" s="13"/>
      <c r="J11" s="9">
        <f t="shared" si="1"/>
        <v>13150</v>
      </c>
      <c r="K11" s="10" t="e">
        <f>J11/'Taux de change'!$C$3</f>
        <v>#DIV/0!</v>
      </c>
    </row>
    <row r="12" spans="1:11" x14ac:dyDescent="0.2">
      <c r="A12" s="398"/>
      <c r="B12" s="3">
        <v>8</v>
      </c>
      <c r="C12" s="246">
        <v>6500</v>
      </c>
      <c r="D12" s="246"/>
      <c r="E12" s="247"/>
      <c r="F12" s="247">
        <f t="shared" si="0"/>
        <v>7600</v>
      </c>
      <c r="G12" s="248">
        <v>55000</v>
      </c>
      <c r="H12" s="10" t="e">
        <f>G12/'Taux de change'!$C$3</f>
        <v>#DIV/0!</v>
      </c>
      <c r="I12" s="13"/>
      <c r="J12" s="9">
        <f t="shared" si="1"/>
        <v>14100</v>
      </c>
      <c r="K12" s="10" t="e">
        <f>J12/'Taux de change'!$C$3</f>
        <v>#DIV/0!</v>
      </c>
    </row>
    <row r="13" spans="1:11" x14ac:dyDescent="0.2">
      <c r="A13" s="398" t="s">
        <v>85</v>
      </c>
      <c r="B13" s="3">
        <v>9</v>
      </c>
      <c r="C13" s="246">
        <v>12000</v>
      </c>
      <c r="D13" s="246">
        <v>14000</v>
      </c>
      <c r="E13" s="247"/>
      <c r="F13" s="247">
        <f t="shared" si="0"/>
        <v>8550</v>
      </c>
      <c r="G13" s="248">
        <v>95000</v>
      </c>
      <c r="H13" s="10" t="e">
        <f>G13/'Taux de change'!$C$3</f>
        <v>#DIV/0!</v>
      </c>
      <c r="I13" s="13"/>
      <c r="J13" s="9">
        <f t="shared" si="1"/>
        <v>21550</v>
      </c>
      <c r="K13" s="10" t="e">
        <f>J13/'Taux de change'!$C$3</f>
        <v>#DIV/0!</v>
      </c>
    </row>
    <row r="14" spans="1:11" x14ac:dyDescent="0.2">
      <c r="A14" s="398"/>
      <c r="B14" s="3">
        <v>10</v>
      </c>
      <c r="C14" s="246">
        <v>12000</v>
      </c>
      <c r="D14" s="246">
        <v>14000</v>
      </c>
      <c r="E14" s="247"/>
      <c r="F14" s="247">
        <f t="shared" si="0"/>
        <v>9500</v>
      </c>
      <c r="G14" s="248">
        <v>95000</v>
      </c>
      <c r="H14" s="10" t="e">
        <f>G14/'Taux de change'!$C$3</f>
        <v>#DIV/0!</v>
      </c>
      <c r="I14" s="13"/>
      <c r="J14" s="9">
        <f t="shared" si="1"/>
        <v>22500</v>
      </c>
      <c r="K14" s="10" t="e">
        <f>J14/'Taux de change'!$C$3</f>
        <v>#DIV/0!</v>
      </c>
    </row>
    <row r="15" spans="1:11" x14ac:dyDescent="0.2">
      <c r="A15" s="398"/>
      <c r="B15" s="3">
        <v>11</v>
      </c>
      <c r="C15" s="246">
        <v>12000</v>
      </c>
      <c r="D15" s="246">
        <v>14000</v>
      </c>
      <c r="E15" s="247"/>
      <c r="F15" s="247">
        <f t="shared" si="0"/>
        <v>10450</v>
      </c>
      <c r="G15" s="248">
        <v>95000</v>
      </c>
      <c r="H15" s="10" t="e">
        <f>G15/'Taux de change'!$C$3</f>
        <v>#DIV/0!</v>
      </c>
      <c r="I15" s="13"/>
      <c r="J15" s="9">
        <f t="shared" si="1"/>
        <v>23450</v>
      </c>
      <c r="K15" s="10" t="e">
        <f>J15/'Taux de change'!$C$3</f>
        <v>#DIV/0!</v>
      </c>
    </row>
    <row r="16" spans="1:11" x14ac:dyDescent="0.2">
      <c r="A16" s="398"/>
      <c r="B16" s="3">
        <v>12</v>
      </c>
      <c r="C16" s="246">
        <v>12000</v>
      </c>
      <c r="D16" s="246">
        <v>14000</v>
      </c>
      <c r="E16" s="247"/>
      <c r="F16" s="247">
        <f t="shared" si="0"/>
        <v>11400</v>
      </c>
      <c r="G16" s="248">
        <v>95000</v>
      </c>
      <c r="H16" s="10" t="e">
        <f>G16/'Taux de change'!$C$3</f>
        <v>#DIV/0!</v>
      </c>
      <c r="I16" s="13"/>
      <c r="J16" s="9">
        <f t="shared" si="1"/>
        <v>24400</v>
      </c>
      <c r="K16" s="10" t="e">
        <f>J16/'Taux de change'!$C$3</f>
        <v>#DIV/0!</v>
      </c>
    </row>
    <row r="17" spans="1:11" x14ac:dyDescent="0.2">
      <c r="A17" s="398" t="s">
        <v>86</v>
      </c>
      <c r="B17" s="3">
        <v>13</v>
      </c>
      <c r="C17" s="246">
        <v>18000</v>
      </c>
      <c r="D17" s="246">
        <v>25000</v>
      </c>
      <c r="E17" s="247"/>
      <c r="F17" s="247">
        <f t="shared" si="0"/>
        <v>12350</v>
      </c>
      <c r="G17" s="248">
        <v>105000</v>
      </c>
      <c r="H17" s="10" t="e">
        <f>G17/'Taux de change'!$C$3</f>
        <v>#DIV/0!</v>
      </c>
      <c r="I17" s="13"/>
      <c r="J17" s="9">
        <f t="shared" si="1"/>
        <v>33850</v>
      </c>
      <c r="K17" s="10" t="e">
        <f>J17/'Taux de change'!$C$3</f>
        <v>#DIV/0!</v>
      </c>
    </row>
    <row r="18" spans="1:11" x14ac:dyDescent="0.2">
      <c r="A18" s="398"/>
      <c r="B18" s="3">
        <v>14</v>
      </c>
      <c r="C18" s="246">
        <v>18000</v>
      </c>
      <c r="D18" s="246">
        <v>25000</v>
      </c>
      <c r="E18" s="247"/>
      <c r="F18" s="247">
        <f t="shared" si="0"/>
        <v>13300</v>
      </c>
      <c r="G18" s="248">
        <v>105000</v>
      </c>
      <c r="H18" s="10" t="e">
        <f>G18/'Taux de change'!$C$3</f>
        <v>#DIV/0!</v>
      </c>
      <c r="I18" s="13"/>
      <c r="J18" s="9">
        <f t="shared" si="1"/>
        <v>34800</v>
      </c>
      <c r="K18" s="10" t="e">
        <f>J18/'Taux de change'!$C$3</f>
        <v>#DIV/0!</v>
      </c>
    </row>
    <row r="19" spans="1:11" x14ac:dyDescent="0.2">
      <c r="A19" s="398"/>
      <c r="B19" s="3">
        <v>15</v>
      </c>
      <c r="C19" s="246">
        <v>18000</v>
      </c>
      <c r="D19" s="246">
        <v>25000</v>
      </c>
      <c r="E19" s="247"/>
      <c r="F19" s="247">
        <f t="shared" si="0"/>
        <v>14250</v>
      </c>
      <c r="G19" s="248">
        <v>105000</v>
      </c>
      <c r="H19" s="10" t="e">
        <f>G19/'Taux de change'!$C$3</f>
        <v>#DIV/0!</v>
      </c>
      <c r="I19" s="13"/>
      <c r="J19" s="9">
        <f t="shared" si="1"/>
        <v>35750</v>
      </c>
      <c r="K19" s="10" t="e">
        <f>J19/'Taux de change'!$C$3</f>
        <v>#DIV/0!</v>
      </c>
    </row>
    <row r="20" spans="1:11" x14ac:dyDescent="0.2">
      <c r="A20" s="398"/>
      <c r="B20" s="3">
        <v>16</v>
      </c>
      <c r="C20" s="246">
        <v>18000</v>
      </c>
      <c r="D20" s="246">
        <v>25000</v>
      </c>
      <c r="E20" s="247"/>
      <c r="F20" s="247">
        <f t="shared" si="0"/>
        <v>15200</v>
      </c>
      <c r="G20" s="248">
        <v>105000</v>
      </c>
      <c r="H20" s="10" t="e">
        <f>G20/'Taux de change'!$C$3</f>
        <v>#DIV/0!</v>
      </c>
      <c r="I20" s="13"/>
      <c r="J20" s="9">
        <f t="shared" si="1"/>
        <v>36700</v>
      </c>
      <c r="K20" s="10" t="e">
        <f>J20/'Taux de change'!$C$3</f>
        <v>#DIV/0!</v>
      </c>
    </row>
    <row r="21" spans="1:11" x14ac:dyDescent="0.2">
      <c r="A21" s="398"/>
      <c r="B21" s="3">
        <v>17</v>
      </c>
      <c r="C21" s="246"/>
      <c r="D21" s="246">
        <v>25000</v>
      </c>
      <c r="E21" s="247"/>
      <c r="F21" s="247">
        <f t="shared" si="0"/>
        <v>16150</v>
      </c>
      <c r="G21" s="248">
        <v>105000</v>
      </c>
      <c r="H21" s="10" t="e">
        <f>G21/'Taux de change'!$C$3</f>
        <v>#DIV/0!</v>
      </c>
      <c r="I21" s="13"/>
      <c r="J21" s="9">
        <f t="shared" si="1"/>
        <v>41150</v>
      </c>
      <c r="K21" s="10" t="e">
        <f>J21/'Taux de change'!$C$3</f>
        <v>#DIV/0!</v>
      </c>
    </row>
    <row r="22" spans="1:11" x14ac:dyDescent="0.2">
      <c r="A22" s="398"/>
      <c r="B22" s="3">
        <v>18</v>
      </c>
      <c r="C22" s="246"/>
      <c r="D22" s="246">
        <v>25000</v>
      </c>
      <c r="E22" s="247"/>
      <c r="F22" s="247">
        <f t="shared" si="0"/>
        <v>17100</v>
      </c>
      <c r="G22" s="248">
        <v>105000</v>
      </c>
      <c r="H22" s="10" t="e">
        <f>G22/'Taux de change'!$C$3</f>
        <v>#DIV/0!</v>
      </c>
      <c r="I22" s="13"/>
      <c r="J22" s="9">
        <f t="shared" si="1"/>
        <v>42100</v>
      </c>
      <c r="K22" s="10" t="e">
        <f>J22/'Taux de change'!$C$3</f>
        <v>#DIV/0!</v>
      </c>
    </row>
    <row r="23" spans="1:11" x14ac:dyDescent="0.2">
      <c r="A23" s="398"/>
      <c r="B23" s="3">
        <v>19</v>
      </c>
      <c r="C23" s="246"/>
      <c r="D23" s="246">
        <v>25000</v>
      </c>
      <c r="E23" s="247"/>
      <c r="F23" s="247">
        <f t="shared" si="0"/>
        <v>18050</v>
      </c>
      <c r="G23" s="248">
        <v>105000</v>
      </c>
      <c r="H23" s="10" t="e">
        <f>G23/'Taux de change'!$C$3</f>
        <v>#DIV/0!</v>
      </c>
      <c r="I23" s="13"/>
      <c r="J23" s="9">
        <f t="shared" si="1"/>
        <v>43050</v>
      </c>
      <c r="K23" s="10" t="e">
        <f>J23/'Taux de change'!$C$3</f>
        <v>#DIV/0!</v>
      </c>
    </row>
    <row r="24" spans="1:11" x14ac:dyDescent="0.2">
      <c r="A24" s="398"/>
      <c r="B24" s="3">
        <v>20</v>
      </c>
      <c r="C24" s="246"/>
      <c r="D24" s="246">
        <v>25000</v>
      </c>
      <c r="E24" s="247"/>
      <c r="F24" s="247">
        <f t="shared" si="0"/>
        <v>19000</v>
      </c>
      <c r="G24" s="248">
        <v>105000</v>
      </c>
      <c r="H24" s="10" t="e">
        <f>G24/'Taux de change'!$C$3</f>
        <v>#DIV/0!</v>
      </c>
      <c r="I24" s="13"/>
      <c r="J24" s="9">
        <f t="shared" si="1"/>
        <v>44000</v>
      </c>
      <c r="K24" s="10" t="e">
        <f>J24/'Taux de change'!$C$3</f>
        <v>#DIV/0!</v>
      </c>
    </row>
    <row r="25" spans="1:11" x14ac:dyDescent="0.2">
      <c r="A25" s="398"/>
      <c r="B25" s="3">
        <v>21</v>
      </c>
      <c r="C25" s="246"/>
      <c r="D25" s="246">
        <v>35000</v>
      </c>
      <c r="E25" s="247"/>
      <c r="F25" s="247">
        <f t="shared" si="0"/>
        <v>19950</v>
      </c>
      <c r="G25" s="248">
        <v>105000</v>
      </c>
      <c r="H25" s="10" t="e">
        <f>G25/'Taux de change'!$C$3</f>
        <v>#DIV/0!</v>
      </c>
      <c r="I25" s="13"/>
      <c r="J25" s="9">
        <f t="shared" si="1"/>
        <v>54950</v>
      </c>
      <c r="K25" s="10" t="e">
        <f>J25/'Taux de change'!$C$3</f>
        <v>#DIV/0!</v>
      </c>
    </row>
    <row r="26" spans="1:11" x14ac:dyDescent="0.2">
      <c r="A26" s="398"/>
      <c r="B26" s="3">
        <v>22</v>
      </c>
      <c r="C26" s="246"/>
      <c r="D26" s="246">
        <v>35000</v>
      </c>
      <c r="E26" s="247"/>
      <c r="F26" s="247">
        <f t="shared" si="0"/>
        <v>20900</v>
      </c>
      <c r="G26" s="248">
        <v>105000</v>
      </c>
      <c r="H26" s="10" t="e">
        <f>G26/'Taux de change'!$C$3</f>
        <v>#DIV/0!</v>
      </c>
      <c r="I26" s="13"/>
      <c r="J26" s="9">
        <f t="shared" si="1"/>
        <v>55900</v>
      </c>
      <c r="K26" s="10" t="e">
        <f>J26/'Taux de change'!$C$3</f>
        <v>#DIV/0!</v>
      </c>
    </row>
    <row r="27" spans="1:11" x14ac:dyDescent="0.2">
      <c r="A27" s="398"/>
      <c r="B27" s="3">
        <v>23</v>
      </c>
      <c r="C27" s="246"/>
      <c r="D27" s="246">
        <v>35000</v>
      </c>
      <c r="E27" s="247"/>
      <c r="F27" s="247">
        <f t="shared" si="0"/>
        <v>21850</v>
      </c>
      <c r="G27" s="248">
        <v>105000</v>
      </c>
      <c r="H27" s="10" t="e">
        <f>G27/'Taux de change'!$C$3</f>
        <v>#DIV/0!</v>
      </c>
      <c r="I27" s="13"/>
      <c r="J27" s="9">
        <f t="shared" si="1"/>
        <v>56850</v>
      </c>
      <c r="K27" s="10" t="e">
        <f>J27/'Taux de change'!$C$3</f>
        <v>#DIV/0!</v>
      </c>
    </row>
    <row r="28" spans="1:11" x14ac:dyDescent="0.2">
      <c r="A28" s="398"/>
      <c r="B28" s="3">
        <v>24</v>
      </c>
      <c r="C28" s="246"/>
      <c r="D28" s="246">
        <v>35000</v>
      </c>
      <c r="E28" s="247"/>
      <c r="F28" s="247">
        <f t="shared" si="0"/>
        <v>22800</v>
      </c>
      <c r="G28" s="248">
        <v>105000</v>
      </c>
      <c r="H28" s="10" t="e">
        <f>G28/'Taux de change'!$C$3</f>
        <v>#DIV/0!</v>
      </c>
      <c r="I28" s="13"/>
      <c r="J28" s="9">
        <f t="shared" si="1"/>
        <v>57800</v>
      </c>
      <c r="K28" s="10" t="e">
        <f>J28/'Taux de change'!$C$3</f>
        <v>#DIV/0!</v>
      </c>
    </row>
    <row r="29" spans="1:11" x14ac:dyDescent="0.2">
      <c r="A29" s="398"/>
      <c r="B29" s="3">
        <v>25</v>
      </c>
      <c r="C29" s="246"/>
      <c r="D29" s="246">
        <v>35000</v>
      </c>
      <c r="E29" s="247"/>
      <c r="F29" s="247">
        <f t="shared" si="0"/>
        <v>23750</v>
      </c>
      <c r="G29" s="248">
        <v>105000</v>
      </c>
      <c r="H29" s="10" t="e">
        <f>G29/'Taux de change'!$C$3</f>
        <v>#DIV/0!</v>
      </c>
      <c r="I29" s="13"/>
      <c r="J29" s="9">
        <f t="shared" si="1"/>
        <v>58750</v>
      </c>
      <c r="K29" s="10" t="e">
        <f>J29/'Taux de change'!$C$3</f>
        <v>#DIV/0!</v>
      </c>
    </row>
    <row r="30" spans="1:11" x14ac:dyDescent="0.2">
      <c r="A30" s="398"/>
      <c r="B30" s="3">
        <v>26</v>
      </c>
      <c r="C30" s="246"/>
      <c r="D30" s="246">
        <v>35000</v>
      </c>
      <c r="E30" s="247"/>
      <c r="F30" s="247">
        <f t="shared" si="0"/>
        <v>24700</v>
      </c>
      <c r="G30" s="248">
        <v>105000</v>
      </c>
      <c r="H30" s="10" t="e">
        <f>G30/'Taux de change'!$C$3</f>
        <v>#DIV/0!</v>
      </c>
      <c r="I30" s="13"/>
      <c r="J30" s="9">
        <f t="shared" si="1"/>
        <v>59700</v>
      </c>
      <c r="K30" s="10" t="e">
        <f>J30/'Taux de change'!$C$3</f>
        <v>#DIV/0!</v>
      </c>
    </row>
    <row r="31" spans="1:11" x14ac:dyDescent="0.2">
      <c r="A31" s="398"/>
      <c r="B31" s="3">
        <v>27</v>
      </c>
      <c r="C31" s="246"/>
      <c r="D31" s="246">
        <v>35000</v>
      </c>
      <c r="E31" s="247"/>
      <c r="F31" s="247">
        <f t="shared" si="0"/>
        <v>25650</v>
      </c>
      <c r="G31" s="248">
        <v>105000</v>
      </c>
      <c r="H31" s="10" t="e">
        <f>G31/'Taux de change'!$C$3</f>
        <v>#DIV/0!</v>
      </c>
      <c r="I31" s="13"/>
      <c r="J31" s="9">
        <f t="shared" si="1"/>
        <v>60650</v>
      </c>
      <c r="K31" s="10" t="e">
        <f>J31/'Taux de change'!$C$3</f>
        <v>#DIV/0!</v>
      </c>
    </row>
    <row r="32" spans="1:11" x14ac:dyDescent="0.2">
      <c r="A32" s="398"/>
      <c r="B32" s="3">
        <v>28</v>
      </c>
      <c r="C32" s="246"/>
      <c r="D32" s="246">
        <v>35000</v>
      </c>
      <c r="E32" s="247"/>
      <c r="F32" s="247">
        <f t="shared" si="0"/>
        <v>26600</v>
      </c>
      <c r="G32" s="248">
        <v>105000</v>
      </c>
      <c r="H32" s="10" t="e">
        <f>G32/'Taux de change'!$C$3</f>
        <v>#DIV/0!</v>
      </c>
      <c r="I32" s="13"/>
      <c r="J32" s="9">
        <f t="shared" si="1"/>
        <v>61600</v>
      </c>
      <c r="K32" s="10" t="e">
        <f>J32/'Taux de change'!$C$3</f>
        <v>#DIV/0!</v>
      </c>
    </row>
    <row r="33" spans="1:11" x14ac:dyDescent="0.2">
      <c r="A33" s="398"/>
      <c r="B33" s="3">
        <v>29</v>
      </c>
      <c r="C33" s="246"/>
      <c r="D33" s="246">
        <v>35000</v>
      </c>
      <c r="E33" s="247"/>
      <c r="F33" s="247">
        <f t="shared" si="0"/>
        <v>27550</v>
      </c>
      <c r="G33" s="248">
        <v>105000</v>
      </c>
      <c r="H33" s="10" t="e">
        <f>G33/'Taux de change'!$C$3</f>
        <v>#DIV/0!</v>
      </c>
      <c r="I33" s="13"/>
      <c r="J33" s="9">
        <f t="shared" si="1"/>
        <v>62550</v>
      </c>
      <c r="K33" s="10" t="e">
        <f>J33/'Taux de change'!$C$3</f>
        <v>#DIV/0!</v>
      </c>
    </row>
    <row r="34" spans="1:11" x14ac:dyDescent="0.2">
      <c r="A34" s="398"/>
      <c r="B34" s="3">
        <v>30</v>
      </c>
      <c r="C34" s="246"/>
      <c r="D34" s="246">
        <v>35000</v>
      </c>
      <c r="E34" s="247"/>
      <c r="F34" s="247">
        <f t="shared" si="0"/>
        <v>28500</v>
      </c>
      <c r="G34" s="248">
        <v>105000</v>
      </c>
      <c r="H34" s="10" t="e">
        <f>G34/'Taux de change'!$C$3</f>
        <v>#DIV/0!</v>
      </c>
      <c r="I34" s="13"/>
      <c r="J34" s="9">
        <f t="shared" si="1"/>
        <v>63500</v>
      </c>
      <c r="K34" s="10" t="e">
        <f>J34/'Taux de change'!$C$3</f>
        <v>#DIV/0!</v>
      </c>
    </row>
    <row r="35" spans="1:11" x14ac:dyDescent="0.2">
      <c r="A35" s="398" t="s">
        <v>87</v>
      </c>
      <c r="B35" s="3">
        <v>31</v>
      </c>
      <c r="C35" s="246"/>
      <c r="D35" s="246">
        <v>58000</v>
      </c>
      <c r="E35" s="247"/>
      <c r="F35" s="247">
        <f t="shared" si="0"/>
        <v>29450</v>
      </c>
      <c r="G35" s="248">
        <v>115000</v>
      </c>
      <c r="H35" s="10" t="e">
        <f>G35/'Taux de change'!$C$3</f>
        <v>#DIV/0!</v>
      </c>
      <c r="I35" s="13"/>
      <c r="J35" s="9">
        <f t="shared" si="1"/>
        <v>87450</v>
      </c>
      <c r="K35" s="10" t="e">
        <f>J35/'Taux de change'!$C$3</f>
        <v>#DIV/0!</v>
      </c>
    </row>
    <row r="36" spans="1:11" x14ac:dyDescent="0.2">
      <c r="A36" s="398"/>
      <c r="B36" s="3">
        <v>32</v>
      </c>
      <c r="C36" s="246"/>
      <c r="D36" s="246">
        <v>58000</v>
      </c>
      <c r="E36" s="247"/>
      <c r="F36" s="247">
        <f t="shared" si="0"/>
        <v>30400</v>
      </c>
      <c r="G36" s="248">
        <v>115000</v>
      </c>
      <c r="H36" s="10" t="e">
        <f>G36/'Taux de change'!$C$3</f>
        <v>#DIV/0!</v>
      </c>
      <c r="I36" s="13"/>
      <c r="J36" s="9">
        <f t="shared" si="1"/>
        <v>88400</v>
      </c>
      <c r="K36" s="10" t="e">
        <f>J36/'Taux de change'!$C$3</f>
        <v>#DIV/0!</v>
      </c>
    </row>
    <row r="37" spans="1:11" x14ac:dyDescent="0.2">
      <c r="A37" s="398"/>
      <c r="B37" s="3">
        <v>33</v>
      </c>
      <c r="C37" s="246"/>
      <c r="D37" s="246">
        <v>58000</v>
      </c>
      <c r="E37" s="247"/>
      <c r="F37" s="247">
        <f t="shared" si="0"/>
        <v>31350</v>
      </c>
      <c r="G37" s="248">
        <v>115000</v>
      </c>
      <c r="H37" s="10" t="e">
        <f>G37/'Taux de change'!$C$3</f>
        <v>#DIV/0!</v>
      </c>
      <c r="I37" s="13"/>
      <c r="J37" s="9">
        <f t="shared" si="1"/>
        <v>89350</v>
      </c>
      <c r="K37" s="10" t="e">
        <f>J37/'Taux de change'!$C$3</f>
        <v>#DIV/0!</v>
      </c>
    </row>
    <row r="38" spans="1:11" x14ac:dyDescent="0.2">
      <c r="A38" s="398"/>
      <c r="B38" s="3">
        <v>34</v>
      </c>
      <c r="C38" s="246"/>
      <c r="D38" s="246">
        <v>58000</v>
      </c>
      <c r="E38" s="247"/>
      <c r="F38" s="247">
        <f t="shared" si="0"/>
        <v>32300</v>
      </c>
      <c r="G38" s="248">
        <v>115000</v>
      </c>
      <c r="H38" s="10" t="e">
        <f>G38/'Taux de change'!$C$3</f>
        <v>#DIV/0!</v>
      </c>
      <c r="I38" s="13"/>
      <c r="J38" s="9">
        <f t="shared" si="1"/>
        <v>90300</v>
      </c>
      <c r="K38" s="10" t="e">
        <f>J38/'Taux de change'!$C$3</f>
        <v>#DIV/0!</v>
      </c>
    </row>
    <row r="39" spans="1:11" x14ac:dyDescent="0.2">
      <c r="A39" s="398"/>
      <c r="B39" s="3">
        <v>35</v>
      </c>
      <c r="C39" s="246"/>
      <c r="D39" s="246">
        <v>58000</v>
      </c>
      <c r="E39" s="247"/>
      <c r="F39" s="247">
        <f t="shared" si="0"/>
        <v>33250</v>
      </c>
      <c r="G39" s="248">
        <v>115000</v>
      </c>
      <c r="H39" s="10" t="e">
        <f>G39/'Taux de change'!$C$3</f>
        <v>#DIV/0!</v>
      </c>
      <c r="I39" s="13"/>
      <c r="J39" s="9">
        <f t="shared" si="1"/>
        <v>91250</v>
      </c>
      <c r="K39" s="10" t="e">
        <f>J39/'Taux de change'!$C$3</f>
        <v>#DIV/0!</v>
      </c>
    </row>
    <row r="40" spans="1:11" x14ac:dyDescent="0.2">
      <c r="A40" s="398"/>
      <c r="B40" s="3">
        <v>36</v>
      </c>
      <c r="C40" s="246"/>
      <c r="D40" s="246">
        <v>58000</v>
      </c>
      <c r="E40" s="247"/>
      <c r="F40" s="247">
        <f t="shared" si="0"/>
        <v>34200</v>
      </c>
      <c r="G40" s="248">
        <v>115000</v>
      </c>
      <c r="H40" s="10" t="e">
        <f>G40/'Taux de change'!$C$3</f>
        <v>#DIV/0!</v>
      </c>
      <c r="I40" s="13"/>
      <c r="J40" s="9">
        <f t="shared" si="1"/>
        <v>92200</v>
      </c>
      <c r="K40" s="10" t="e">
        <f>J40/'Taux de change'!$C$3</f>
        <v>#DIV/0!</v>
      </c>
    </row>
    <row r="41" spans="1:11" x14ac:dyDescent="0.2">
      <c r="A41" s="398"/>
      <c r="B41" s="3">
        <v>37</v>
      </c>
      <c r="C41" s="246"/>
      <c r="D41" s="246">
        <v>58000</v>
      </c>
      <c r="E41" s="247"/>
      <c r="F41" s="247">
        <f t="shared" si="0"/>
        <v>35150</v>
      </c>
      <c r="G41" s="248">
        <v>115000</v>
      </c>
      <c r="H41" s="10" t="e">
        <f>G41/'Taux de change'!$C$3</f>
        <v>#DIV/0!</v>
      </c>
      <c r="I41" s="13"/>
      <c r="J41" s="9">
        <f t="shared" si="1"/>
        <v>93150</v>
      </c>
      <c r="K41" s="10" t="e">
        <f>J41/'Taux de change'!$C$3</f>
        <v>#DIV/0!</v>
      </c>
    </row>
    <row r="42" spans="1:11" x14ac:dyDescent="0.2">
      <c r="A42" s="398"/>
      <c r="B42" s="3">
        <v>38</v>
      </c>
      <c r="C42" s="246"/>
      <c r="D42" s="246">
        <v>58000</v>
      </c>
      <c r="E42" s="247"/>
      <c r="F42" s="247">
        <f t="shared" si="0"/>
        <v>36100</v>
      </c>
      <c r="G42" s="248">
        <v>115000</v>
      </c>
      <c r="H42" s="10" t="e">
        <f>G42/'Taux de change'!$C$3</f>
        <v>#DIV/0!</v>
      </c>
      <c r="I42" s="13"/>
      <c r="J42" s="9">
        <f t="shared" si="1"/>
        <v>94100</v>
      </c>
      <c r="K42" s="10" t="e">
        <f>J42/'Taux de change'!$C$3</f>
        <v>#DIV/0!</v>
      </c>
    </row>
    <row r="43" spans="1:11" x14ac:dyDescent="0.2">
      <c r="A43" s="398"/>
      <c r="B43" s="3">
        <v>39</v>
      </c>
      <c r="C43" s="246"/>
      <c r="D43" s="246">
        <v>58000</v>
      </c>
      <c r="E43" s="247"/>
      <c r="F43" s="247">
        <f t="shared" si="0"/>
        <v>37050</v>
      </c>
      <c r="G43" s="248">
        <v>115000</v>
      </c>
      <c r="H43" s="10" t="e">
        <f>G43/'Taux de change'!$C$3</f>
        <v>#DIV/0!</v>
      </c>
      <c r="I43" s="13"/>
      <c r="J43" s="9">
        <f t="shared" si="1"/>
        <v>95050</v>
      </c>
      <c r="K43" s="10" t="e">
        <f>J43/'Taux de change'!$C$3</f>
        <v>#DIV/0!</v>
      </c>
    </row>
    <row r="44" spans="1:11" x14ac:dyDescent="0.2">
      <c r="A44" s="398"/>
      <c r="B44" s="3">
        <v>40</v>
      </c>
      <c r="C44" s="246"/>
      <c r="D44" s="246">
        <v>58000</v>
      </c>
      <c r="E44" s="247"/>
      <c r="F44" s="247">
        <f t="shared" si="0"/>
        <v>38000</v>
      </c>
      <c r="G44" s="248">
        <v>115000</v>
      </c>
      <c r="H44" s="10" t="e">
        <f>G44/'Taux de change'!$C$3</f>
        <v>#DIV/0!</v>
      </c>
      <c r="I44" s="13"/>
      <c r="J44" s="9">
        <f t="shared" si="1"/>
        <v>96000</v>
      </c>
      <c r="K44" s="10" t="e">
        <f>J44/'Taux de change'!$C$3</f>
        <v>#DIV/0!</v>
      </c>
    </row>
    <row r="45" spans="1:11" x14ac:dyDescent="0.2">
      <c r="A45" s="398"/>
      <c r="B45" s="3">
        <v>41</v>
      </c>
      <c r="C45" s="246"/>
      <c r="D45" s="246">
        <v>58000</v>
      </c>
      <c r="E45" s="247"/>
      <c r="F45" s="247">
        <f t="shared" si="0"/>
        <v>38950</v>
      </c>
      <c r="G45" s="248">
        <v>115000</v>
      </c>
      <c r="H45" s="10" t="e">
        <f>G45/'Taux de change'!$C$3</f>
        <v>#DIV/0!</v>
      </c>
      <c r="I45" s="13"/>
      <c r="J45" s="9">
        <f t="shared" si="1"/>
        <v>96950</v>
      </c>
      <c r="K45" s="10" t="e">
        <f>J45/'Taux de change'!$C$3</f>
        <v>#DIV/0!</v>
      </c>
    </row>
    <row r="46" spans="1:11" x14ac:dyDescent="0.2">
      <c r="A46" s="398"/>
      <c r="B46" s="3">
        <v>42</v>
      </c>
      <c r="C46" s="246"/>
      <c r="D46" s="246">
        <v>58000</v>
      </c>
      <c r="E46" s="247"/>
      <c r="F46" s="247">
        <f t="shared" si="0"/>
        <v>39900</v>
      </c>
      <c r="G46" s="248">
        <v>115000</v>
      </c>
      <c r="H46" s="10" t="e">
        <f>G46/'Taux de change'!$C$3</f>
        <v>#DIV/0!</v>
      </c>
      <c r="I46" s="13"/>
      <c r="J46" s="9">
        <f t="shared" si="1"/>
        <v>97900</v>
      </c>
      <c r="K46" s="10" t="e">
        <f>J46/'Taux de change'!$C$3</f>
        <v>#DIV/0!</v>
      </c>
    </row>
    <row r="47" spans="1:11" x14ac:dyDescent="0.2">
      <c r="A47" s="398"/>
      <c r="B47" s="3">
        <v>43</v>
      </c>
      <c r="C47" s="246"/>
      <c r="D47" s="246">
        <v>58000</v>
      </c>
      <c r="E47" s="247"/>
      <c r="F47" s="247">
        <f t="shared" si="0"/>
        <v>40850</v>
      </c>
      <c r="G47" s="248">
        <v>115000</v>
      </c>
      <c r="H47" s="10" t="e">
        <f>G47/'Taux de change'!$C$3</f>
        <v>#DIV/0!</v>
      </c>
      <c r="I47" s="13"/>
      <c r="J47" s="9">
        <f t="shared" si="1"/>
        <v>98850</v>
      </c>
      <c r="K47" s="10" t="e">
        <f>J47/'Taux de change'!$C$3</f>
        <v>#DIV/0!</v>
      </c>
    </row>
    <row r="48" spans="1:11" x14ac:dyDescent="0.2">
      <c r="A48" s="398"/>
      <c r="B48" s="3">
        <v>44</v>
      </c>
      <c r="C48" s="246"/>
      <c r="D48" s="246">
        <v>58000</v>
      </c>
      <c r="E48" s="247"/>
      <c r="F48" s="247">
        <f t="shared" si="0"/>
        <v>41800</v>
      </c>
      <c r="G48" s="248">
        <v>115000</v>
      </c>
      <c r="H48" s="10" t="e">
        <f>G48/'Taux de change'!$C$3</f>
        <v>#DIV/0!</v>
      </c>
      <c r="I48" s="13"/>
      <c r="J48" s="9">
        <f t="shared" si="1"/>
        <v>99800</v>
      </c>
      <c r="K48" s="10" t="e">
        <f>J48/'Taux de change'!$C$3</f>
        <v>#DIV/0!</v>
      </c>
    </row>
    <row r="49" spans="1:13" ht="17" thickBot="1" x14ac:dyDescent="0.25">
      <c r="A49" s="398"/>
      <c r="B49" s="3">
        <v>45</v>
      </c>
      <c r="C49" s="246"/>
      <c r="D49" s="246">
        <v>58000</v>
      </c>
      <c r="E49" s="247"/>
      <c r="F49" s="247">
        <f t="shared" si="0"/>
        <v>42750</v>
      </c>
      <c r="G49" s="248">
        <v>115000</v>
      </c>
      <c r="H49" s="10" t="e">
        <f>G49/'Taux de change'!$C$3</f>
        <v>#DIV/0!</v>
      </c>
      <c r="I49" s="13"/>
      <c r="J49" s="9">
        <f t="shared" si="1"/>
        <v>100750</v>
      </c>
      <c r="K49" s="11" t="e">
        <f>J49/'Taux de change'!$C$3</f>
        <v>#DIV/0!</v>
      </c>
    </row>
    <row r="50" spans="1:13" ht="17" thickBot="1" x14ac:dyDescent="0.25">
      <c r="A50" s="399"/>
      <c r="B50" s="186" t="s">
        <v>11</v>
      </c>
      <c r="C50" s="249"/>
      <c r="D50" s="249">
        <v>85000</v>
      </c>
      <c r="E50" s="250"/>
      <c r="F50" s="250"/>
      <c r="G50" s="251">
        <v>115000</v>
      </c>
      <c r="H50" s="11" t="e">
        <f>G50/'Taux de change'!$C$3</f>
        <v>#DIV/0!</v>
      </c>
      <c r="I50" s="13"/>
      <c r="L50" s="4"/>
      <c r="M50" s="5"/>
    </row>
  </sheetData>
  <sheetProtection selectLockedCells="1"/>
  <mergeCells count="9">
    <mergeCell ref="A13:A16"/>
    <mergeCell ref="A17:A34"/>
    <mergeCell ref="A35:A50"/>
    <mergeCell ref="G3:H4"/>
    <mergeCell ref="J3:K4"/>
    <mergeCell ref="B3:B4"/>
    <mergeCell ref="A3:A4"/>
    <mergeCell ref="A5:A12"/>
    <mergeCell ref="C3:E3"/>
  </mergeCells>
  <phoneticPr fontId="24" type="noConversion"/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8"/>
  <sheetViews>
    <sheetView showGridLines="0" zoomScale="80" zoomScaleNormal="80" zoomScalePageLayoutView="80" workbookViewId="0">
      <selection activeCell="J13" sqref="J13"/>
    </sheetView>
  </sheetViews>
  <sheetFormatPr baseColWidth="10" defaultRowHeight="15" x14ac:dyDescent="0.2"/>
  <cols>
    <col min="1" max="1" width="34.5" style="60" customWidth="1"/>
    <col min="2" max="2" width="10.83203125" style="60"/>
    <col min="3" max="3" width="13.5" style="60" bestFit="1" customWidth="1"/>
    <col min="4" max="4" width="30.83203125" style="60" customWidth="1"/>
    <col min="5" max="5" width="10.83203125" style="60"/>
    <col min="6" max="6" width="11.5" style="60" bestFit="1" customWidth="1"/>
    <col min="7" max="7" width="24.33203125" style="60" customWidth="1"/>
    <col min="8" max="8" width="19.1640625" style="60" bestFit="1" customWidth="1"/>
    <col min="9" max="11" width="10.83203125" style="60"/>
    <col min="12" max="12" width="14.5" style="60" bestFit="1" customWidth="1"/>
    <col min="13" max="13" width="11.5" style="60" bestFit="1" customWidth="1"/>
    <col min="14" max="14" width="16.6640625" style="60" bestFit="1" customWidth="1"/>
    <col min="15" max="16384" width="10.83203125" style="60"/>
  </cols>
  <sheetData>
    <row r="1" spans="1:14" ht="27" thickBot="1" x14ac:dyDescent="0.35">
      <c r="A1" s="415" t="str">
        <f>'Données brutes'!A3</f>
        <v>Localité 1</v>
      </c>
      <c r="B1" s="416"/>
      <c r="C1" s="416"/>
      <c r="D1" s="416"/>
      <c r="E1" s="416"/>
      <c r="F1" s="417"/>
      <c r="G1" s="147"/>
      <c r="H1" s="147"/>
      <c r="I1" s="147"/>
    </row>
    <row r="2" spans="1:14" x14ac:dyDescent="0.2">
      <c r="A2" s="187" t="str">
        <f>'Données brutes'!B4</f>
        <v>Porteur de projet 1</v>
      </c>
      <c r="B2" s="188"/>
      <c r="C2" s="189"/>
      <c r="D2" s="187" t="str">
        <f>'Données brutes'!B7</f>
        <v>Porteur de projet 2</v>
      </c>
      <c r="E2" s="188"/>
      <c r="F2" s="190"/>
      <c r="G2" s="148"/>
      <c r="H2" s="149"/>
      <c r="I2" s="150"/>
    </row>
    <row r="3" spans="1:14" x14ac:dyDescent="0.2">
      <c r="A3" s="191" t="s">
        <v>57</v>
      </c>
      <c r="B3" s="192" t="s">
        <v>58</v>
      </c>
      <c r="C3" s="193" t="s">
        <v>59</v>
      </c>
      <c r="D3" s="191" t="s">
        <v>57</v>
      </c>
      <c r="E3" s="192" t="s">
        <v>58</v>
      </c>
      <c r="F3" s="193" t="s">
        <v>59</v>
      </c>
      <c r="G3" s="148"/>
      <c r="H3" s="149"/>
      <c r="I3" s="148"/>
    </row>
    <row r="4" spans="1:14" x14ac:dyDescent="0.2">
      <c r="A4" s="253"/>
      <c r="B4" s="254"/>
      <c r="C4" s="255"/>
      <c r="D4" s="253"/>
      <c r="E4" s="254"/>
      <c r="F4" s="255"/>
      <c r="G4" s="151"/>
      <c r="H4" s="152"/>
      <c r="I4" s="153"/>
    </row>
    <row r="5" spans="1:14" x14ac:dyDescent="0.2">
      <c r="A5" s="253"/>
      <c r="B5" s="254"/>
      <c r="C5" s="255"/>
      <c r="D5" s="253"/>
      <c r="E5" s="254"/>
      <c r="F5" s="255"/>
      <c r="G5" s="151"/>
      <c r="H5" s="152"/>
      <c r="I5" s="153"/>
    </row>
    <row r="6" spans="1:14" x14ac:dyDescent="0.2">
      <c r="A6" s="253"/>
      <c r="B6" s="254"/>
      <c r="C6" s="255"/>
      <c r="D6" s="253"/>
      <c r="E6" s="254"/>
      <c r="F6" s="255"/>
      <c r="G6" s="151"/>
      <c r="H6" s="152"/>
      <c r="I6" s="153"/>
    </row>
    <row r="7" spans="1:14" ht="16" x14ac:dyDescent="0.2">
      <c r="A7" s="253"/>
      <c r="B7" s="254"/>
      <c r="C7" s="255"/>
      <c r="D7" s="253"/>
      <c r="E7" s="254"/>
      <c r="F7" s="255"/>
      <c r="G7" s="151"/>
      <c r="H7" s="152"/>
      <c r="I7" s="153"/>
      <c r="L7" s="141"/>
      <c r="M7" s="142"/>
      <c r="N7" s="20"/>
    </row>
    <row r="8" spans="1:14" ht="16" x14ac:dyDescent="0.2">
      <c r="A8" s="253"/>
      <c r="B8" s="254"/>
      <c r="C8" s="255"/>
      <c r="D8" s="253"/>
      <c r="E8" s="254"/>
      <c r="F8" s="255"/>
      <c r="G8" s="151"/>
      <c r="H8" s="152"/>
      <c r="I8" s="153"/>
      <c r="L8" s="141"/>
      <c r="M8" s="142"/>
      <c r="N8" s="20"/>
    </row>
    <row r="9" spans="1:14" ht="16" x14ac:dyDescent="0.2">
      <c r="A9" s="253"/>
      <c r="B9" s="254"/>
      <c r="C9" s="255"/>
      <c r="D9" s="253"/>
      <c r="E9" s="254"/>
      <c r="F9" s="255"/>
      <c r="G9" s="151"/>
      <c r="H9" s="152"/>
      <c r="I9" s="153"/>
      <c r="L9" s="141"/>
      <c r="M9" s="142"/>
      <c r="N9" s="20"/>
    </row>
    <row r="10" spans="1:14" ht="42" customHeight="1" x14ac:dyDescent="0.2">
      <c r="A10" s="253"/>
      <c r="B10" s="254"/>
      <c r="C10" s="255"/>
      <c r="D10" s="253"/>
      <c r="E10" s="254"/>
      <c r="F10" s="255"/>
      <c r="G10" s="151"/>
      <c r="H10" s="152"/>
      <c r="I10" s="153"/>
      <c r="L10" s="141"/>
      <c r="M10" s="142"/>
      <c r="N10" s="20"/>
    </row>
    <row r="11" spans="1:14" ht="16" x14ac:dyDescent="0.2">
      <c r="A11" s="253"/>
      <c r="B11" s="254"/>
      <c r="C11" s="255"/>
      <c r="D11" s="253"/>
      <c r="E11" s="254"/>
      <c r="F11" s="255"/>
      <c r="G11" s="151"/>
      <c r="H11" s="152"/>
      <c r="I11" s="153"/>
      <c r="L11" s="141"/>
      <c r="M11" s="142"/>
      <c r="N11" s="20"/>
    </row>
    <row r="12" spans="1:14" ht="16" x14ac:dyDescent="0.2">
      <c r="A12" s="253"/>
      <c r="B12" s="254"/>
      <c r="C12" s="255"/>
      <c r="D12" s="253"/>
      <c r="E12" s="254"/>
      <c r="F12" s="255"/>
      <c r="G12" s="151"/>
      <c r="H12" s="152"/>
      <c r="I12" s="153"/>
      <c r="L12" s="143"/>
      <c r="M12" s="142"/>
      <c r="N12" s="20"/>
    </row>
    <row r="13" spans="1:14" ht="16" x14ac:dyDescent="0.2">
      <c r="A13" s="253"/>
      <c r="B13" s="254"/>
      <c r="C13" s="255"/>
      <c r="D13" s="253"/>
      <c r="E13" s="254"/>
      <c r="F13" s="255"/>
      <c r="G13" s="151"/>
      <c r="H13" s="152"/>
      <c r="I13" s="153"/>
      <c r="L13" s="143"/>
      <c r="M13" s="144"/>
    </row>
    <row r="14" spans="1:14" x14ac:dyDescent="0.2">
      <c r="A14" s="253"/>
      <c r="B14" s="254"/>
      <c r="C14" s="255"/>
      <c r="D14" s="253"/>
      <c r="E14" s="254"/>
      <c r="F14" s="255"/>
      <c r="G14" s="151"/>
      <c r="H14" s="152"/>
      <c r="I14" s="153"/>
      <c r="L14" s="145"/>
      <c r="M14" s="146"/>
    </row>
    <row r="15" spans="1:14" x14ac:dyDescent="0.2">
      <c r="A15" s="253"/>
      <c r="B15" s="254"/>
      <c r="C15" s="255"/>
      <c r="D15" s="253"/>
      <c r="E15" s="254"/>
      <c r="F15" s="255"/>
      <c r="G15" s="151"/>
      <c r="H15" s="152"/>
      <c r="I15" s="153"/>
      <c r="L15" s="145"/>
      <c r="M15" s="146"/>
    </row>
    <row r="16" spans="1:14" x14ac:dyDescent="0.2">
      <c r="A16" s="253"/>
      <c r="B16" s="254"/>
      <c r="C16" s="255"/>
      <c r="D16" s="253"/>
      <c r="E16" s="254"/>
      <c r="F16" s="255"/>
      <c r="G16" s="151"/>
      <c r="H16" s="152"/>
      <c r="I16" s="153"/>
      <c r="M16" s="61"/>
      <c r="N16" s="67"/>
    </row>
    <row r="17" spans="1:14" ht="16" thickBot="1" x14ac:dyDescent="0.25">
      <c r="A17" s="256"/>
      <c r="B17" s="257"/>
      <c r="C17" s="258"/>
      <c r="D17" s="259"/>
      <c r="E17" s="257"/>
      <c r="F17" s="258"/>
      <c r="G17" s="152"/>
      <c r="H17" s="152"/>
      <c r="I17" s="153"/>
      <c r="M17" s="61"/>
      <c r="N17" s="67"/>
    </row>
    <row r="18" spans="1:14" ht="21" customHeight="1" x14ac:dyDescent="0.2">
      <c r="A18" s="61"/>
      <c r="B18" s="61"/>
      <c r="C18" s="134">
        <f>SUM(C4:C17)</f>
        <v>0</v>
      </c>
      <c r="D18" s="135"/>
      <c r="E18" s="136"/>
      <c r="F18" s="134">
        <f>SUM(F4:F17)</f>
        <v>0</v>
      </c>
      <c r="G18" s="136"/>
      <c r="H18" s="136"/>
      <c r="I18" s="134"/>
      <c r="M18" s="61"/>
      <c r="N18" s="68"/>
    </row>
    <row r="19" spans="1:14" x14ac:dyDescent="0.2">
      <c r="A19" s="62"/>
      <c r="B19" s="63"/>
      <c r="C19" s="137"/>
      <c r="D19" s="137"/>
      <c r="E19" s="137"/>
      <c r="F19" s="137"/>
      <c r="G19" s="138"/>
      <c r="H19" s="138"/>
      <c r="I19" s="138"/>
    </row>
    <row r="20" spans="1:14" x14ac:dyDescent="0.2">
      <c r="B20" s="63"/>
      <c r="C20" s="63"/>
    </row>
    <row r="21" spans="1:14" x14ac:dyDescent="0.2">
      <c r="A21" s="66"/>
      <c r="B21" s="63"/>
      <c r="C21" s="63"/>
    </row>
    <row r="22" spans="1:14" x14ac:dyDescent="0.2">
      <c r="A22" s="64"/>
      <c r="B22" s="63"/>
      <c r="C22" s="63"/>
    </row>
    <row r="24" spans="1:14" x14ac:dyDescent="0.2">
      <c r="G24" s="133"/>
      <c r="J24" s="133"/>
    </row>
    <row r="26" spans="1:14" ht="27" thickBot="1" x14ac:dyDescent="0.35">
      <c r="A26" s="419" t="str">
        <f>'Données brutes'!A10</f>
        <v>Localité 2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</row>
    <row r="27" spans="1:14" x14ac:dyDescent="0.2">
      <c r="A27" s="187" t="str">
        <f>'Données brutes'!B11</f>
        <v>Porteur de projet 3</v>
      </c>
      <c r="B27" s="194"/>
      <c r="C27" s="194"/>
      <c r="D27" s="187" t="str">
        <f>'Données brutes'!B14</f>
        <v>Porteur de projet 4</v>
      </c>
      <c r="E27" s="194"/>
      <c r="F27" s="194"/>
      <c r="G27" s="187" t="str">
        <f>'Données brutes'!B17</f>
        <v>Porteur de projet 5</v>
      </c>
      <c r="H27" s="194"/>
      <c r="I27" s="194"/>
      <c r="J27" s="187" t="str">
        <f>'Données brutes'!B20</f>
        <v>Porteur de projet 6</v>
      </c>
      <c r="K27" s="187"/>
      <c r="L27" s="195"/>
    </row>
    <row r="28" spans="1:14" x14ac:dyDescent="0.2">
      <c r="A28" s="196" t="s">
        <v>57</v>
      </c>
      <c r="B28" s="197" t="s">
        <v>58</v>
      </c>
      <c r="C28" s="198" t="s">
        <v>59</v>
      </c>
      <c r="D28" s="196" t="s">
        <v>57</v>
      </c>
      <c r="E28" s="197" t="s">
        <v>58</v>
      </c>
      <c r="F28" s="198" t="s">
        <v>59</v>
      </c>
      <c r="G28" s="196" t="s">
        <v>57</v>
      </c>
      <c r="H28" s="197" t="s">
        <v>58</v>
      </c>
      <c r="I28" s="198" t="s">
        <v>59</v>
      </c>
      <c r="J28" s="196" t="s">
        <v>57</v>
      </c>
      <c r="K28" s="197" t="s">
        <v>58</v>
      </c>
      <c r="L28" s="199" t="s">
        <v>59</v>
      </c>
    </row>
    <row r="29" spans="1:14" x14ac:dyDescent="0.2">
      <c r="A29" s="253"/>
      <c r="B29" s="254"/>
      <c r="C29" s="254"/>
      <c r="D29" s="253"/>
      <c r="E29" s="254"/>
      <c r="F29" s="254"/>
      <c r="G29" s="253"/>
      <c r="H29" s="254"/>
      <c r="I29" s="254"/>
      <c r="J29" s="253"/>
      <c r="K29" s="254"/>
      <c r="L29" s="255"/>
    </row>
    <row r="30" spans="1:14" x14ac:dyDescent="0.2">
      <c r="A30" s="253"/>
      <c r="B30" s="254"/>
      <c r="C30" s="254"/>
      <c r="D30" s="253"/>
      <c r="E30" s="254"/>
      <c r="F30" s="254"/>
      <c r="G30" s="253"/>
      <c r="H30" s="254"/>
      <c r="I30" s="254"/>
      <c r="J30" s="253"/>
      <c r="K30" s="254"/>
      <c r="L30" s="255"/>
    </row>
    <row r="31" spans="1:14" x14ac:dyDescent="0.2">
      <c r="A31" s="253"/>
      <c r="B31" s="254"/>
      <c r="C31" s="254"/>
      <c r="D31" s="253"/>
      <c r="E31" s="254"/>
      <c r="F31" s="254"/>
      <c r="G31" s="253"/>
      <c r="H31" s="254"/>
      <c r="I31" s="254"/>
      <c r="J31" s="253"/>
      <c r="K31" s="254"/>
      <c r="L31" s="255"/>
    </row>
    <row r="32" spans="1:14" x14ac:dyDescent="0.2">
      <c r="A32" s="253"/>
      <c r="B32" s="254"/>
      <c r="C32" s="254"/>
      <c r="D32" s="253"/>
      <c r="E32" s="254"/>
      <c r="F32" s="254"/>
      <c r="G32" s="253"/>
      <c r="H32" s="254"/>
      <c r="I32" s="254"/>
      <c r="J32" s="253"/>
      <c r="K32" s="254"/>
      <c r="L32" s="255"/>
    </row>
    <row r="33" spans="1:12" x14ac:dyDescent="0.2">
      <c r="A33" s="253"/>
      <c r="B33" s="254"/>
      <c r="C33" s="254"/>
      <c r="D33" s="253"/>
      <c r="E33" s="254"/>
      <c r="F33" s="254"/>
      <c r="G33" s="253"/>
      <c r="H33" s="254"/>
      <c r="I33" s="254"/>
      <c r="J33" s="253"/>
      <c r="K33" s="254"/>
      <c r="L33" s="255"/>
    </row>
    <row r="34" spans="1:12" x14ac:dyDescent="0.2">
      <c r="A34" s="253"/>
      <c r="B34" s="254"/>
      <c r="C34" s="254"/>
      <c r="D34" s="253"/>
      <c r="E34" s="254"/>
      <c r="F34" s="254"/>
      <c r="G34" s="253"/>
      <c r="H34" s="254"/>
      <c r="I34" s="254"/>
      <c r="J34" s="253"/>
      <c r="K34" s="254"/>
      <c r="L34" s="255"/>
    </row>
    <row r="35" spans="1:12" x14ac:dyDescent="0.2">
      <c r="A35" s="253"/>
      <c r="B35" s="254"/>
      <c r="C35" s="254"/>
      <c r="D35" s="253"/>
      <c r="E35" s="254"/>
      <c r="F35" s="254"/>
      <c r="G35" s="253"/>
      <c r="H35" s="254"/>
      <c r="I35" s="254"/>
      <c r="J35" s="253"/>
      <c r="K35" s="254"/>
      <c r="L35" s="255"/>
    </row>
    <row r="36" spans="1:12" x14ac:dyDescent="0.2">
      <c r="A36" s="253"/>
      <c r="B36" s="254"/>
      <c r="C36" s="254"/>
      <c r="D36" s="253"/>
      <c r="E36" s="254"/>
      <c r="F36" s="254"/>
      <c r="G36" s="253"/>
      <c r="H36" s="254"/>
      <c r="I36" s="254"/>
      <c r="J36" s="253"/>
      <c r="K36" s="254"/>
      <c r="L36" s="255"/>
    </row>
    <row r="37" spans="1:12" x14ac:dyDescent="0.2">
      <c r="A37" s="253"/>
      <c r="B37" s="254"/>
      <c r="C37" s="254"/>
      <c r="D37" s="253"/>
      <c r="E37" s="254"/>
      <c r="F37" s="254"/>
      <c r="G37" s="253"/>
      <c r="H37" s="254"/>
      <c r="I37" s="254"/>
      <c r="J37" s="253"/>
      <c r="K37" s="254"/>
      <c r="L37" s="255"/>
    </row>
    <row r="38" spans="1:12" x14ac:dyDescent="0.2">
      <c r="A38" s="253"/>
      <c r="B38" s="254"/>
      <c r="C38" s="254"/>
      <c r="D38" s="253"/>
      <c r="E38" s="254"/>
      <c r="F38" s="254"/>
      <c r="G38" s="253"/>
      <c r="H38" s="254"/>
      <c r="I38" s="254"/>
      <c r="J38" s="253"/>
      <c r="K38" s="254"/>
      <c r="L38" s="255"/>
    </row>
    <row r="39" spans="1:12" x14ac:dyDescent="0.2">
      <c r="A39" s="253"/>
      <c r="B39" s="254"/>
      <c r="C39" s="254"/>
      <c r="D39" s="253"/>
      <c r="E39" s="254"/>
      <c r="F39" s="254"/>
      <c r="G39" s="253"/>
      <c r="H39" s="254"/>
      <c r="I39" s="254"/>
      <c r="J39" s="253"/>
      <c r="K39" s="254"/>
      <c r="L39" s="255"/>
    </row>
    <row r="40" spans="1:12" x14ac:dyDescent="0.2">
      <c r="A40" s="253"/>
      <c r="B40" s="254"/>
      <c r="C40" s="254"/>
      <c r="D40" s="253"/>
      <c r="E40" s="254"/>
      <c r="F40" s="254"/>
      <c r="G40" s="253"/>
      <c r="H40" s="254"/>
      <c r="I40" s="254"/>
      <c r="J40" s="253"/>
      <c r="K40" s="254"/>
      <c r="L40" s="255"/>
    </row>
    <row r="41" spans="1:12" x14ac:dyDescent="0.2">
      <c r="A41" s="253"/>
      <c r="B41" s="254"/>
      <c r="C41" s="254"/>
      <c r="D41" s="253"/>
      <c r="E41" s="254"/>
      <c r="F41" s="254"/>
      <c r="G41" s="253"/>
      <c r="H41" s="254"/>
      <c r="I41" s="254"/>
      <c r="J41" s="253"/>
      <c r="K41" s="254"/>
      <c r="L41" s="255"/>
    </row>
    <row r="42" spans="1:12" ht="16" thickBot="1" x14ac:dyDescent="0.25">
      <c r="A42" s="259"/>
      <c r="B42" s="257"/>
      <c r="C42" s="257"/>
      <c r="D42" s="259"/>
      <c r="E42" s="257"/>
      <c r="F42" s="257"/>
      <c r="G42" s="259"/>
      <c r="H42" s="257"/>
      <c r="I42" s="257"/>
      <c r="J42" s="259"/>
      <c r="K42" s="257"/>
      <c r="L42" s="258"/>
    </row>
    <row r="43" spans="1:12" x14ac:dyDescent="0.2">
      <c r="A43" s="61"/>
      <c r="B43" s="61"/>
      <c r="C43" s="139">
        <f>SUM(C29:C42)</f>
        <v>0</v>
      </c>
      <c r="D43" s="139"/>
      <c r="E43" s="139"/>
      <c r="F43" s="139">
        <f>SUM(F29:F42)</f>
        <v>0</v>
      </c>
      <c r="G43" s="139"/>
      <c r="H43" s="140"/>
      <c r="I43" s="139">
        <f>SUM(I29:I42)</f>
        <v>0</v>
      </c>
      <c r="J43" s="140"/>
      <c r="K43" s="140"/>
      <c r="L43" s="139">
        <f>SUM(L29:L42)</f>
        <v>0</v>
      </c>
    </row>
    <row r="44" spans="1:12" x14ac:dyDescent="0.2">
      <c r="A44" s="61"/>
      <c r="B44" s="61"/>
      <c r="C44" s="61"/>
      <c r="D44" s="61"/>
      <c r="E44" s="61"/>
      <c r="F44" s="61"/>
      <c r="G44" s="61"/>
    </row>
    <row r="45" spans="1:12" x14ac:dyDescent="0.2">
      <c r="A45" s="61"/>
      <c r="B45" s="61"/>
      <c r="C45" s="61"/>
      <c r="D45" s="61"/>
      <c r="E45" s="61"/>
      <c r="F45" s="61"/>
    </row>
    <row r="46" spans="1:12" x14ac:dyDescent="0.2">
      <c r="A46" s="62"/>
      <c r="B46" s="63"/>
      <c r="C46" s="418"/>
      <c r="D46" s="418"/>
      <c r="E46" s="418"/>
      <c r="F46" s="418"/>
    </row>
    <row r="47" spans="1:12" x14ac:dyDescent="0.2">
      <c r="B47" s="63"/>
      <c r="C47" s="63"/>
    </row>
    <row r="48" spans="1:12" x14ac:dyDescent="0.2">
      <c r="C48" s="63"/>
    </row>
  </sheetData>
  <sheetProtection insertRows="0"/>
  <mergeCells count="3">
    <mergeCell ref="A1:F1"/>
    <mergeCell ref="C46:F46"/>
    <mergeCell ref="A26:L2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Notice d'utilisation</vt:lpstr>
      <vt:lpstr>Données brutes</vt:lpstr>
      <vt:lpstr>Taux de change</vt:lpstr>
      <vt:lpstr>Dim. cofinancement</vt:lpstr>
      <vt:lpstr>Part de cofinancement</vt:lpstr>
      <vt:lpstr>Tarification</vt:lpstr>
      <vt:lpstr>Devis raccordement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ANKRI</dc:creator>
  <cp:lastModifiedBy>Jérémy ANKRI</cp:lastModifiedBy>
  <cp:lastPrinted>2019-10-24T08:34:32Z</cp:lastPrinted>
  <dcterms:created xsi:type="dcterms:W3CDTF">2018-12-10T09:29:13Z</dcterms:created>
  <dcterms:modified xsi:type="dcterms:W3CDTF">2020-10-14T06:54:49Z</dcterms:modified>
</cp:coreProperties>
</file>